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uisto\Desktop\7Worlds Other Handouts\"/>
    </mc:Choice>
  </mc:AlternateContent>
  <bookViews>
    <workbookView xWindow="-24" yWindow="-24" windowWidth="12000" windowHeight="9744"/>
  </bookViews>
  <sheets>
    <sheet name="Rocket Engine Table" sheetId="5" r:id="rId1"/>
  </sheets>
  <definedNames>
    <definedName name="_xlnm._FilterDatabase" localSheetId="0">'Rocket Engine Table'!$A$3:$AH$14</definedName>
  </definedNames>
  <calcPr calcId="152511"/>
</workbook>
</file>

<file path=xl/calcChain.xml><?xml version="1.0" encoding="utf-8"?>
<calcChain xmlns="http://schemas.openxmlformats.org/spreadsheetml/2006/main">
  <c r="AV23" i="5" l="1"/>
  <c r="AV22" i="5"/>
  <c r="AV21" i="5"/>
  <c r="AV20" i="5"/>
  <c r="AV19" i="5"/>
  <c r="AV18" i="5"/>
  <c r="AV17" i="5"/>
  <c r="AV16" i="5"/>
  <c r="AV15" i="5"/>
  <c r="AV14" i="5"/>
  <c r="AV13" i="5"/>
  <c r="AV12" i="5"/>
  <c r="AV11" i="5"/>
  <c r="AV10" i="5"/>
  <c r="AV9" i="5"/>
  <c r="AV8" i="5"/>
  <c r="AV7" i="5"/>
  <c r="AV6" i="5"/>
  <c r="AV5" i="5"/>
  <c r="AV4" i="5"/>
  <c r="I14" i="5" l="1"/>
  <c r="J14" i="5"/>
  <c r="R14" i="5" s="1"/>
  <c r="N14" i="5"/>
  <c r="Q14" i="5" s="1"/>
  <c r="U14" i="5"/>
  <c r="V14" i="5"/>
  <c r="W14" i="5"/>
  <c r="X14" i="5" s="1"/>
  <c r="AL14" i="5"/>
  <c r="AM14" i="5"/>
  <c r="BF5" i="5"/>
  <c r="BF6" i="5"/>
  <c r="BF7" i="5"/>
  <c r="BF8" i="5"/>
  <c r="BF9" i="5"/>
  <c r="BF10" i="5"/>
  <c r="BF11" i="5"/>
  <c r="BF12" i="5"/>
  <c r="BF13" i="5"/>
  <c r="BF14" i="5"/>
  <c r="BF15" i="5"/>
  <c r="BF16" i="5"/>
  <c r="BF17" i="5"/>
  <c r="BF18" i="5"/>
  <c r="BF19" i="5"/>
  <c r="BF20" i="5"/>
  <c r="BF21" i="5"/>
  <c r="BF22" i="5"/>
  <c r="BF23" i="5"/>
  <c r="BF4" i="5"/>
  <c r="AC14" i="5" l="1"/>
  <c r="T14" i="5"/>
  <c r="AE14" i="5" s="1"/>
  <c r="AD14" i="5" s="1"/>
  <c r="AA14" i="5"/>
  <c r="Z14" i="5"/>
  <c r="J23" i="5"/>
  <c r="R23" i="5" s="1"/>
  <c r="I23" i="5"/>
  <c r="J22" i="5"/>
  <c r="R22" i="5" s="1"/>
  <c r="I22" i="5"/>
  <c r="J21" i="5"/>
  <c r="R21" i="5" s="1"/>
  <c r="I21" i="5"/>
  <c r="J20" i="5"/>
  <c r="R20" i="5" s="1"/>
  <c r="I20" i="5"/>
  <c r="J19" i="5"/>
  <c r="R19" i="5" s="1"/>
  <c r="I19" i="5"/>
  <c r="J18" i="5"/>
  <c r="R18" i="5" s="1"/>
  <c r="I18" i="5"/>
  <c r="J17" i="5"/>
  <c r="R17" i="5" s="1"/>
  <c r="I17" i="5"/>
  <c r="J16" i="5"/>
  <c r="R16" i="5" s="1"/>
  <c r="I16" i="5"/>
  <c r="J15" i="5"/>
  <c r="R15" i="5" s="1"/>
  <c r="I15" i="5"/>
  <c r="J13" i="5"/>
  <c r="R13" i="5" s="1"/>
  <c r="I13" i="5"/>
  <c r="J12" i="5"/>
  <c r="R12" i="5" s="1"/>
  <c r="I12" i="5"/>
  <c r="J11" i="5"/>
  <c r="R11" i="5" s="1"/>
  <c r="I11" i="5"/>
  <c r="J10" i="5"/>
  <c r="R10" i="5" s="1"/>
  <c r="I10" i="5"/>
  <c r="J9" i="5"/>
  <c r="R9" i="5" s="1"/>
  <c r="I9" i="5"/>
  <c r="J8" i="5"/>
  <c r="R8" i="5" s="1"/>
  <c r="I8" i="5"/>
  <c r="J7" i="5"/>
  <c r="R7" i="5" s="1"/>
  <c r="I7" i="5"/>
  <c r="J6" i="5"/>
  <c r="R6" i="5" s="1"/>
  <c r="I6" i="5"/>
  <c r="J5" i="5"/>
  <c r="R5" i="5" s="1"/>
  <c r="I5" i="5"/>
  <c r="J4" i="5"/>
  <c r="R4" i="5" s="1"/>
  <c r="I4" i="5"/>
  <c r="O14" i="5" l="1"/>
  <c r="S14" i="5" s="1"/>
  <c r="AK14" i="5" s="1"/>
  <c r="AN14" i="5" s="1"/>
  <c r="AI14" i="5"/>
  <c r="AJ14" i="5" s="1"/>
  <c r="AB14" i="5"/>
  <c r="AL8" i="5"/>
  <c r="AM8" i="5"/>
  <c r="AL9" i="5"/>
  <c r="AM9" i="5"/>
  <c r="AL10" i="5"/>
  <c r="AM10" i="5"/>
  <c r="AL11" i="5"/>
  <c r="AM11" i="5"/>
  <c r="AL12" i="5"/>
  <c r="AM12" i="5"/>
  <c r="AL13" i="5"/>
  <c r="AM13" i="5"/>
  <c r="AL15" i="5"/>
  <c r="AM15" i="5"/>
  <c r="AL16" i="5"/>
  <c r="AM16" i="5"/>
  <c r="AL17" i="5"/>
  <c r="AM17" i="5"/>
  <c r="AL18" i="5"/>
  <c r="AM18" i="5"/>
  <c r="AL19" i="5"/>
  <c r="AM19" i="5"/>
  <c r="AL20" i="5"/>
  <c r="AM20" i="5"/>
  <c r="AL21" i="5"/>
  <c r="AM21" i="5"/>
  <c r="AL22" i="5"/>
  <c r="AM22" i="5"/>
  <c r="AL23" i="5"/>
  <c r="AM23" i="5"/>
  <c r="AO14" i="5" l="1"/>
  <c r="AP14" i="5" s="1"/>
  <c r="AR14" i="5" s="1"/>
  <c r="AL5" i="5"/>
  <c r="AM5" i="5"/>
  <c r="AL6" i="5"/>
  <c r="AM6" i="5"/>
  <c r="AL7" i="5"/>
  <c r="AM7" i="5"/>
  <c r="AM4" i="5"/>
  <c r="AL4" i="5"/>
  <c r="U23" i="5" l="1"/>
  <c r="T23" i="5" s="1"/>
  <c r="U22" i="5"/>
  <c r="T22" i="5" s="1"/>
  <c r="U21" i="5"/>
  <c r="T21" i="5" s="1"/>
  <c r="U20" i="5"/>
  <c r="T20" i="5" s="1"/>
  <c r="U19" i="5"/>
  <c r="T19" i="5" s="1"/>
  <c r="U18" i="5"/>
  <c r="T18" i="5" s="1"/>
  <c r="U17" i="5"/>
  <c r="T17" i="5" s="1"/>
  <c r="U16" i="5"/>
  <c r="T16" i="5" s="1"/>
  <c r="U15" i="5"/>
  <c r="T15" i="5" s="1"/>
  <c r="U13" i="5"/>
  <c r="T13" i="5" s="1"/>
  <c r="U12" i="5"/>
  <c r="T12" i="5" s="1"/>
  <c r="U11" i="5"/>
  <c r="T11" i="5" s="1"/>
  <c r="U10" i="5"/>
  <c r="T10" i="5" s="1"/>
  <c r="U9" i="5"/>
  <c r="T9" i="5" s="1"/>
  <c r="U8" i="5"/>
  <c r="T8" i="5" s="1"/>
  <c r="U7" i="5"/>
  <c r="T7" i="5" s="1"/>
  <c r="U6" i="5"/>
  <c r="T6" i="5" s="1"/>
  <c r="U5" i="5"/>
  <c r="T5" i="5" s="1"/>
  <c r="U4" i="5"/>
  <c r="T4" i="5" s="1"/>
  <c r="N5" i="5"/>
  <c r="Q5" i="5" s="1"/>
  <c r="N6" i="5"/>
  <c r="Q6" i="5" s="1"/>
  <c r="N7" i="5"/>
  <c r="Q7" i="5" s="1"/>
  <c r="N8" i="5"/>
  <c r="Q8" i="5" s="1"/>
  <c r="N9" i="5"/>
  <c r="Q9" i="5" s="1"/>
  <c r="N10" i="5"/>
  <c r="Q10" i="5" s="1"/>
  <c r="N11" i="5"/>
  <c r="Q11" i="5" s="1"/>
  <c r="N12" i="5"/>
  <c r="Q12" i="5" s="1"/>
  <c r="N13" i="5"/>
  <c r="Q13" i="5" s="1"/>
  <c r="N15" i="5"/>
  <c r="Q15" i="5" s="1"/>
  <c r="N16" i="5"/>
  <c r="Q16" i="5" s="1"/>
  <c r="N17" i="5"/>
  <c r="Q17" i="5" s="1"/>
  <c r="N18" i="5"/>
  <c r="Q18" i="5" s="1"/>
  <c r="N19" i="5"/>
  <c r="Q19" i="5" s="1"/>
  <c r="N20" i="5"/>
  <c r="Q20" i="5" s="1"/>
  <c r="N21" i="5"/>
  <c r="Q21" i="5" s="1"/>
  <c r="N22" i="5"/>
  <c r="Q22" i="5" s="1"/>
  <c r="N23" i="5"/>
  <c r="Q23" i="5" s="1"/>
  <c r="N4" i="5"/>
  <c r="Q4" i="5" s="1"/>
  <c r="AT14" i="5"/>
  <c r="W13" i="5"/>
  <c r="Z13" i="5" s="1"/>
  <c r="V13" i="5"/>
  <c r="AT13" i="5"/>
  <c r="W12" i="5"/>
  <c r="AA12" i="5" s="1"/>
  <c r="AI12" i="5" s="1"/>
  <c r="AJ12" i="5" s="1"/>
  <c r="V12" i="5"/>
  <c r="AT12" i="5"/>
  <c r="W11" i="5"/>
  <c r="AA11" i="5" s="1"/>
  <c r="AI11" i="5" s="1"/>
  <c r="AJ11" i="5" s="1"/>
  <c r="V11" i="5"/>
  <c r="AT11" i="5"/>
  <c r="W10" i="5"/>
  <c r="AA10" i="5" s="1"/>
  <c r="AI10" i="5" s="1"/>
  <c r="AJ10" i="5" s="1"/>
  <c r="V10" i="5"/>
  <c r="AT10" i="5"/>
  <c r="W9" i="5"/>
  <c r="AA9" i="5" s="1"/>
  <c r="AI9" i="5" s="1"/>
  <c r="AJ9" i="5" s="1"/>
  <c r="V9" i="5"/>
  <c r="AT9" i="5"/>
  <c r="W8" i="5"/>
  <c r="X8" i="5" s="1"/>
  <c r="V8" i="5"/>
  <c r="AT8" i="5"/>
  <c r="W7" i="5"/>
  <c r="X7" i="5" s="1"/>
  <c r="V7" i="5"/>
  <c r="AT7" i="5"/>
  <c r="W6" i="5"/>
  <c r="X6" i="5" s="1"/>
  <c r="V6" i="5"/>
  <c r="AT6" i="5"/>
  <c r="W5" i="5"/>
  <c r="X5" i="5" s="1"/>
  <c r="V5" i="5"/>
  <c r="AT5" i="5"/>
  <c r="W4" i="5"/>
  <c r="X4" i="5" s="1"/>
  <c r="V4" i="5"/>
  <c r="AT4" i="5"/>
  <c r="AE7" i="5" l="1"/>
  <c r="AD7" i="5" s="1"/>
  <c r="AE12" i="5"/>
  <c r="AD12" i="5" s="1"/>
  <c r="AE5" i="5"/>
  <c r="AD5" i="5" s="1"/>
  <c r="AE13" i="5"/>
  <c r="AD13" i="5" s="1"/>
  <c r="AE6" i="5"/>
  <c r="AD6" i="5" s="1"/>
  <c r="X13" i="5"/>
  <c r="AC13" i="5" s="1"/>
  <c r="AC4" i="5"/>
  <c r="AE9" i="5"/>
  <c r="AD9" i="5" s="1"/>
  <c r="O9" i="5"/>
  <c r="S9" i="5" s="1"/>
  <c r="AC6" i="5"/>
  <c r="AC7" i="5"/>
  <c r="AE8" i="5"/>
  <c r="AD8" i="5" s="1"/>
  <c r="X9" i="5"/>
  <c r="AC9" i="5" s="1"/>
  <c r="AE10" i="5"/>
  <c r="AD10" i="5" s="1"/>
  <c r="AC5" i="5"/>
  <c r="AC8" i="5"/>
  <c r="Z9" i="5"/>
  <c r="AE4" i="5"/>
  <c r="AD4" i="5" s="1"/>
  <c r="AE11" i="5"/>
  <c r="AD11" i="5" s="1"/>
  <c r="Z11" i="5"/>
  <c r="Z5" i="5"/>
  <c r="AA5" i="5"/>
  <c r="X11" i="5"/>
  <c r="AC11" i="5" s="1"/>
  <c r="O13" i="5"/>
  <c r="S13" i="5" s="1"/>
  <c r="O5" i="5"/>
  <c r="S5" i="5" s="1"/>
  <c r="O11" i="5"/>
  <c r="S11" i="5" s="1"/>
  <c r="O12" i="5"/>
  <c r="S12" i="5" s="1"/>
  <c r="O10" i="5"/>
  <c r="S10" i="5" s="1"/>
  <c r="O8" i="5"/>
  <c r="S8" i="5" s="1"/>
  <c r="AB10" i="5"/>
  <c r="AB12" i="5"/>
  <c r="AB9" i="5"/>
  <c r="AB11" i="5"/>
  <c r="AA13" i="5"/>
  <c r="AI13" i="5" s="1"/>
  <c r="AJ13" i="5" s="1"/>
  <c r="X12" i="5"/>
  <c r="AC12" i="5" s="1"/>
  <c r="Z8" i="5"/>
  <c r="Z10" i="5"/>
  <c r="Z12" i="5"/>
  <c r="X10" i="5"/>
  <c r="AC10" i="5" s="1"/>
  <c r="AA8" i="5"/>
  <c r="AI8" i="5" s="1"/>
  <c r="AJ8" i="5" s="1"/>
  <c r="O6" i="5"/>
  <c r="S6" i="5" s="1"/>
  <c r="O7" i="5"/>
  <c r="S7" i="5" s="1"/>
  <c r="Z6" i="5"/>
  <c r="AA6" i="5"/>
  <c r="AI6" i="5" s="1"/>
  <c r="AJ6" i="5" s="1"/>
  <c r="Z7" i="5"/>
  <c r="AA7" i="5"/>
  <c r="AI7" i="5" s="1"/>
  <c r="AJ7" i="5" s="1"/>
  <c r="O4" i="5"/>
  <c r="Z4" i="5"/>
  <c r="AA4" i="5"/>
  <c r="BE9" i="5" l="1"/>
  <c r="AK6" i="5"/>
  <c r="AN6" i="5" s="1"/>
  <c r="BE6" i="5"/>
  <c r="AK10" i="5"/>
  <c r="AN10" i="5" s="1"/>
  <c r="AO10" i="5" s="1"/>
  <c r="BB10" i="5" s="1"/>
  <c r="BE10" i="5"/>
  <c r="AK12" i="5"/>
  <c r="AN12" i="5" s="1"/>
  <c r="AO12" i="5" s="1"/>
  <c r="BB12" i="5" s="1"/>
  <c r="BE12" i="5"/>
  <c r="S4" i="5"/>
  <c r="AK4" i="5" s="1"/>
  <c r="AN4" i="5" s="1"/>
  <c r="BE4" i="5"/>
  <c r="AK11" i="5"/>
  <c r="AN11" i="5" s="1"/>
  <c r="AO11" i="5" s="1"/>
  <c r="AP11" i="5" s="1"/>
  <c r="AR11" i="5" s="1"/>
  <c r="BE11" i="5"/>
  <c r="BB14" i="5"/>
  <c r="BE14" i="5"/>
  <c r="AK5" i="5"/>
  <c r="AN5" i="5" s="1"/>
  <c r="BE5" i="5"/>
  <c r="AK7" i="5"/>
  <c r="AN7" i="5" s="1"/>
  <c r="AO7" i="5" s="1"/>
  <c r="BE7" i="5"/>
  <c r="AK8" i="5"/>
  <c r="AN8" i="5" s="1"/>
  <c r="AO8" i="5" s="1"/>
  <c r="BB8" i="5" s="1"/>
  <c r="BD8" i="5" s="1"/>
  <c r="BE8" i="5"/>
  <c r="AK13" i="5"/>
  <c r="AN13" i="5" s="1"/>
  <c r="AO13" i="5" s="1"/>
  <c r="BE13" i="5"/>
  <c r="AK9" i="5"/>
  <c r="AN9" i="5" s="1"/>
  <c r="AO9" i="5" s="1"/>
  <c r="BB9" i="5" s="1"/>
  <c r="BC9" i="5" s="1"/>
  <c r="AO6" i="5"/>
  <c r="BB6" i="5" s="1"/>
  <c r="BC6" i="5" s="1"/>
  <c r="AB5" i="5"/>
  <c r="AI5" i="5"/>
  <c r="AJ5" i="5" s="1"/>
  <c r="AI4" i="5"/>
  <c r="AJ4" i="5" s="1"/>
  <c r="AB6" i="5"/>
  <c r="AB4" i="5"/>
  <c r="AB7" i="5"/>
  <c r="AB13" i="5"/>
  <c r="AB8" i="5"/>
  <c r="W15" i="5"/>
  <c r="W16" i="5"/>
  <c r="W17" i="5"/>
  <c r="W18" i="5"/>
  <c r="W19" i="5"/>
  <c r="X19" i="5" s="1"/>
  <c r="W20" i="5"/>
  <c r="X20" i="5" s="1"/>
  <c r="W21" i="5"/>
  <c r="W22" i="5"/>
  <c r="X22" i="5" s="1"/>
  <c r="W23" i="5"/>
  <c r="X23" i="5" s="1"/>
  <c r="AO4" i="5" l="1"/>
  <c r="AP4" i="5" s="1"/>
  <c r="AR4" i="5" s="1"/>
  <c r="AP10" i="5"/>
  <c r="AR10" i="5" s="1"/>
  <c r="BB11" i="5"/>
  <c r="AP12" i="5"/>
  <c r="AR12" i="5" s="1"/>
  <c r="AO5" i="5"/>
  <c r="AP5" i="5" s="1"/>
  <c r="AR5" i="5" s="1"/>
  <c r="BB7" i="5"/>
  <c r="BC7" i="5" s="1"/>
  <c r="AP7" i="5"/>
  <c r="AR7" i="5" s="1"/>
  <c r="BB13" i="5"/>
  <c r="AP13" i="5"/>
  <c r="AR13" i="5" s="1"/>
  <c r="AP9" i="5"/>
  <c r="AR9" i="5" s="1"/>
  <c r="AP8" i="5"/>
  <c r="AR8" i="5" s="1"/>
  <c r="AP6" i="5"/>
  <c r="AR6" i="5" s="1"/>
  <c r="BB4" i="5"/>
  <c r="BC4" i="5" s="1"/>
  <c r="AA21" i="5"/>
  <c r="X21" i="5"/>
  <c r="Z17" i="5"/>
  <c r="X17" i="5"/>
  <c r="Z18" i="5"/>
  <c r="X18" i="5"/>
  <c r="Z16" i="5"/>
  <c r="X16" i="5"/>
  <c r="AA22" i="5"/>
  <c r="AA15" i="5"/>
  <c r="X15" i="5"/>
  <c r="AA23" i="5"/>
  <c r="Z19" i="5"/>
  <c r="Z15" i="5"/>
  <c r="AA19" i="5"/>
  <c r="AA18" i="5"/>
  <c r="AA17" i="5"/>
  <c r="AI17" i="5" s="1"/>
  <c r="AJ17" i="5" s="1"/>
  <c r="AA16" i="5"/>
  <c r="Z23" i="5"/>
  <c r="Z22" i="5"/>
  <c r="Z21" i="5"/>
  <c r="AA20" i="5"/>
  <c r="Z20" i="5"/>
  <c r="BB5" i="5" l="1"/>
  <c r="BC5" i="5" s="1"/>
  <c r="AB23" i="5"/>
  <c r="AI23" i="5"/>
  <c r="AJ23" i="5" s="1"/>
  <c r="AB21" i="5"/>
  <c r="AI21" i="5"/>
  <c r="AJ21" i="5" s="1"/>
  <c r="AB19" i="5"/>
  <c r="AI19" i="5"/>
  <c r="AJ19" i="5" s="1"/>
  <c r="AB18" i="5"/>
  <c r="AI18" i="5"/>
  <c r="AJ18" i="5" s="1"/>
  <c r="AB22" i="5"/>
  <c r="AI22" i="5"/>
  <c r="AJ22" i="5" s="1"/>
  <c r="AB20" i="5"/>
  <c r="AI20" i="5"/>
  <c r="AJ20" i="5" s="1"/>
  <c r="AB16" i="5"/>
  <c r="AI16" i="5"/>
  <c r="AJ16" i="5" s="1"/>
  <c r="AB15" i="5"/>
  <c r="AI15" i="5"/>
  <c r="AJ15" i="5" s="1"/>
  <c r="AB17" i="5"/>
  <c r="V23" i="5" l="1"/>
  <c r="AC23" i="5" s="1"/>
  <c r="AT23" i="5"/>
  <c r="V22" i="5"/>
  <c r="AC22" i="5" s="1"/>
  <c r="AT22" i="5"/>
  <c r="V21" i="5"/>
  <c r="AC21" i="5" s="1"/>
  <c r="AT21" i="5"/>
  <c r="V20" i="5"/>
  <c r="AC20" i="5" s="1"/>
  <c r="AT20" i="5"/>
  <c r="AE22" i="5" l="1"/>
  <c r="AD22" i="5" s="1"/>
  <c r="AE21" i="5"/>
  <c r="AD21" i="5" s="1"/>
  <c r="AE23" i="5"/>
  <c r="AD23" i="5" s="1"/>
  <c r="AE20" i="5"/>
  <c r="AD20" i="5" s="1"/>
  <c r="O21" i="5"/>
  <c r="S21" i="5" s="1"/>
  <c r="O22" i="5"/>
  <c r="S22" i="5" s="1"/>
  <c r="O23" i="5"/>
  <c r="S23" i="5" s="1"/>
  <c r="O20" i="5"/>
  <c r="S20" i="5" s="1"/>
  <c r="V19" i="5"/>
  <c r="AC19" i="5" s="1"/>
  <c r="AT19" i="5"/>
  <c r="V18" i="5"/>
  <c r="AC18" i="5" s="1"/>
  <c r="AT18" i="5"/>
  <c r="AK23" i="5" l="1"/>
  <c r="AN23" i="5" s="1"/>
  <c r="AO23" i="5" s="1"/>
  <c r="AP23" i="5" s="1"/>
  <c r="AR23" i="5" s="1"/>
  <c r="BE23" i="5"/>
  <c r="AK22" i="5"/>
  <c r="AN22" i="5" s="1"/>
  <c r="AO22" i="5" s="1"/>
  <c r="AP22" i="5" s="1"/>
  <c r="AR22" i="5" s="1"/>
  <c r="BE22" i="5"/>
  <c r="AK20" i="5"/>
  <c r="AN20" i="5" s="1"/>
  <c r="AO20" i="5" s="1"/>
  <c r="BB20" i="5" s="1"/>
  <c r="BE20" i="5"/>
  <c r="AK21" i="5"/>
  <c r="AN21" i="5" s="1"/>
  <c r="AO21" i="5" s="1"/>
  <c r="BB21" i="5" s="1"/>
  <c r="BE21" i="5"/>
  <c r="AE18" i="5"/>
  <c r="AD18" i="5" s="1"/>
  <c r="AE19" i="5"/>
  <c r="AD19" i="5" s="1"/>
  <c r="O19" i="5"/>
  <c r="S19" i="5" s="1"/>
  <c r="O18" i="5"/>
  <c r="S18" i="5" s="1"/>
  <c r="V16" i="5"/>
  <c r="AC16" i="5" s="1"/>
  <c r="AT16" i="5"/>
  <c r="BB23" i="5" l="1"/>
  <c r="BB22" i="5"/>
  <c r="AP20" i="5"/>
  <c r="AR20" i="5" s="1"/>
  <c r="AK18" i="5"/>
  <c r="AN18" i="5" s="1"/>
  <c r="AO18" i="5" s="1"/>
  <c r="AP18" i="5" s="1"/>
  <c r="AR18" i="5" s="1"/>
  <c r="BE18" i="5"/>
  <c r="AP21" i="5"/>
  <c r="AR21" i="5" s="1"/>
  <c r="AK19" i="5"/>
  <c r="AN19" i="5" s="1"/>
  <c r="AO19" i="5" s="1"/>
  <c r="BB19" i="5" s="1"/>
  <c r="BE19" i="5"/>
  <c r="AE16" i="5"/>
  <c r="AD16" i="5" s="1"/>
  <c r="O16" i="5"/>
  <c r="S16" i="5" s="1"/>
  <c r="V17" i="5"/>
  <c r="AC17" i="5" s="1"/>
  <c r="AT17" i="5"/>
  <c r="V15" i="5"/>
  <c r="AC15" i="5" s="1"/>
  <c r="AT15" i="5"/>
  <c r="BB18" i="5" l="1"/>
  <c r="AK16" i="5"/>
  <c r="AN16" i="5" s="1"/>
  <c r="AO16" i="5" s="1"/>
  <c r="BB16" i="5" s="1"/>
  <c r="BE16" i="5"/>
  <c r="AP19" i="5"/>
  <c r="AR19" i="5" s="1"/>
  <c r="AE15" i="5"/>
  <c r="AD15" i="5" s="1"/>
  <c r="AE17" i="5"/>
  <c r="AD17" i="5" s="1"/>
  <c r="O17" i="5"/>
  <c r="S17" i="5" s="1"/>
  <c r="O15" i="5"/>
  <c r="S15" i="5" s="1"/>
  <c r="AP16" i="5" l="1"/>
  <c r="AR16" i="5" s="1"/>
  <c r="AK17" i="5"/>
  <c r="AN17" i="5" s="1"/>
  <c r="AO17" i="5" s="1"/>
  <c r="AP17" i="5" s="1"/>
  <c r="AR17" i="5" s="1"/>
  <c r="BE17" i="5"/>
  <c r="AK15" i="5"/>
  <c r="AN15" i="5" s="1"/>
  <c r="AO15" i="5" s="1"/>
  <c r="BB15" i="5" s="1"/>
  <c r="BE15" i="5"/>
  <c r="BB17" i="5" l="1"/>
  <c r="AP15" i="5"/>
  <c r="AR15" i="5" s="1"/>
</calcChain>
</file>

<file path=xl/comments1.xml><?xml version="1.0" encoding="utf-8"?>
<comments xmlns="http://schemas.openxmlformats.org/spreadsheetml/2006/main">
  <authors>
    <author>Luis Enrique Torres</author>
  </authors>
  <commentList>
    <comment ref="E2" authorId="0" shapeId="0">
      <text>
        <r>
          <rPr>
            <b/>
            <sz val="9"/>
            <color indexed="81"/>
            <rFont val="Tahoma"/>
            <family val="2"/>
          </rPr>
          <t>Luis Enrique Torres:</t>
        </r>
        <r>
          <rPr>
            <sz val="9"/>
            <color indexed="81"/>
            <rFont val="Tahoma"/>
            <family val="2"/>
          </rPr>
          <t xml:space="preserve">
Data comes from Engine Table: http://www.projectrho.com/public_html/rocket/enginelist.php#id--The_Drive_Table 
I have applied an efficiency %, and have also extrapolated He3-He3 by doubling He3-D fusion (since no data for this was available).</t>
        </r>
      </text>
    </comment>
    <comment ref="AF2" authorId="0" shapeId="0">
      <text>
        <r>
          <rPr>
            <b/>
            <sz val="10"/>
            <color indexed="81"/>
            <rFont val="Tahoma"/>
            <family val="2"/>
          </rPr>
          <t>Luis Enrique Torres:</t>
        </r>
        <r>
          <rPr>
            <sz val="10"/>
            <color indexed="81"/>
            <rFont val="Tahoma"/>
            <family val="2"/>
          </rPr>
          <t xml:space="preserve">
This section is taken from Life Support models from Atomic Rockets (http://www.projectrho.com/public_html/rocket/lifesupport.php ), as well as from the life support calculator at http://www.5596.org/cgi-bin/mission.php (see Javascript code in that page)</t>
        </r>
      </text>
    </comment>
    <comment ref="I3" authorId="0" shapeId="0">
      <text>
        <r>
          <rPr>
            <b/>
            <sz val="9"/>
            <color indexed="81"/>
            <rFont val="Tahoma"/>
            <family val="2"/>
          </rPr>
          <t>Luis Enrique Torres:</t>
        </r>
        <r>
          <rPr>
            <sz val="9"/>
            <color indexed="81"/>
            <rFont val="Tahoma"/>
            <family val="2"/>
          </rPr>
          <t xml:space="preserve">
Accoording to Project Rho, Exhaust is the same, and affects the same, regardless of the number of engines. See http://www.projectrho.com/public_html/rocket/blastoff.php#id--Acceleration</t>
        </r>
      </text>
    </comment>
    <comment ref="J3" authorId="0" shapeId="0">
      <text>
        <r>
          <rPr>
            <b/>
            <sz val="9"/>
            <color indexed="81"/>
            <rFont val="Tahoma"/>
            <family val="2"/>
          </rPr>
          <t>Luis Enrique Torres:</t>
        </r>
        <r>
          <rPr>
            <sz val="9"/>
            <color indexed="81"/>
            <rFont val="Tahoma"/>
            <family val="2"/>
          </rPr>
          <t xml:space="preserve">
Accoording to Project Rho, Thrust does change depending on the number of engines. However, the payload mass devoted to engines must be increased (Column Y).  See http://www.projectrho.com/public_html/rocket/blastoff.php#id--Acceleration</t>
        </r>
      </text>
    </comment>
    <comment ref="K3" authorId="0" shapeId="0">
      <text>
        <r>
          <rPr>
            <b/>
            <sz val="10"/>
            <color indexed="81"/>
            <rFont val="Tahoma"/>
            <family val="2"/>
          </rPr>
          <t>Luis Enrique Torres:</t>
        </r>
        <r>
          <rPr>
            <sz val="10"/>
            <color indexed="81"/>
            <rFont val="Tahoma"/>
            <family val="2"/>
          </rPr>
          <t xml:space="preserve">
This gives us an idea of how the ship is distributed.</t>
        </r>
      </text>
    </comment>
    <comment ref="L3" authorId="0" shapeId="0">
      <text>
        <r>
          <rPr>
            <b/>
            <sz val="10"/>
            <color indexed="81"/>
            <rFont val="Tahoma"/>
            <family val="2"/>
          </rPr>
          <t>Luis Enrique Torres:</t>
        </r>
        <r>
          <rPr>
            <sz val="10"/>
            <color indexed="81"/>
            <rFont val="Tahoma"/>
            <family val="2"/>
          </rPr>
          <t xml:space="preserve">
This is set according to the ship purpose, and the Brachistochrone Novogram at ProjectRho</t>
        </r>
      </text>
    </comment>
    <comment ref="M3" authorId="0" shapeId="0">
      <text>
        <r>
          <rPr>
            <b/>
            <sz val="10"/>
            <color indexed="81"/>
            <rFont val="Tahoma"/>
            <family val="2"/>
          </rPr>
          <t>Luis Enrique Torres:</t>
        </r>
        <r>
          <rPr>
            <sz val="10"/>
            <color indexed="81"/>
            <rFont val="Tahoma"/>
            <family val="2"/>
          </rPr>
          <t xml:space="preserve">
Proposed acceleration. Can't be higher than Maximum Acceleration column.</t>
        </r>
      </text>
    </comment>
    <comment ref="N3" authorId="0" shapeId="0">
      <text>
        <r>
          <rPr>
            <b/>
            <sz val="9"/>
            <color indexed="81"/>
            <rFont val="Tahoma"/>
            <family val="2"/>
          </rPr>
          <t>Luis Enrique Torres:</t>
        </r>
        <r>
          <rPr>
            <sz val="9"/>
            <color indexed="81"/>
            <rFont val="Tahoma"/>
            <family val="2"/>
          </rPr>
          <t xml:space="preserve">
Formula (from Atomic Rockets; Brachristochrone Novogram):
accel = distance / (time/2)^2
Accel in m/s2
Time in seconds
Distance in meters
distance = accel*(time/2)^2
=(J*g) * (time/2)*(time/2)
=(J*9.81)*(time*time)/4
=9.81J*((weeks*24*7*3600)*(weeks*24*7*3600)/4
=9.81J*(weeks*weeks*604800*604800)/4
To convert into AUs divide by 149,597,870,700 meters</t>
        </r>
      </text>
    </comment>
    <comment ref="O3" authorId="0" shapeId="0">
      <text>
        <r>
          <rPr>
            <b/>
            <sz val="10"/>
            <color indexed="81"/>
            <rFont val="Tahoma"/>
            <family val="2"/>
          </rPr>
          <t>Luis Enrique Torres:</t>
        </r>
        <r>
          <rPr>
            <sz val="10"/>
            <color indexed="81"/>
            <rFont val="Tahoma"/>
            <family val="2"/>
          </rPr>
          <t xml:space="preserve">
This is a simple division: The ship/engines total DeltaV available divided by the DeltaV for a single trip (1 AU approximately) tells us how many trips we can handle with this ship before refueling.
Ideally we need at least 8 trips per ship since that's the usual maximum distance between stars; there may be a need for refueling stations along the route.</t>
        </r>
      </text>
    </comment>
    <comment ref="Q3" authorId="0" shapeId="0">
      <text>
        <r>
          <rPr>
            <b/>
            <sz val="9"/>
            <color indexed="81"/>
            <rFont val="Tahoma"/>
            <family val="2"/>
          </rPr>
          <t>Luis Enrique Torres:</t>
        </r>
        <r>
          <rPr>
            <sz val="9"/>
            <color indexed="81"/>
            <rFont val="Tahoma"/>
            <family val="2"/>
          </rPr>
          <t xml:space="preserve">
Formula (from Atomic Rockets; Brachristochrone Novogram):
accel = (deltaV/2)^2 / distance
(deltaV/2)^2 = accel*distance
deltaV/2=SQRT(accel*distance)
deltaV = 2*SQRT(accel*distance)
Accel in m/s2
Distance in meters
DeltaV in m/s (we want it in km/s)
To convert into AUs divide by 149,597,870,700 meters
deltaV=2*SQRT((J*g)*(K*AUsToMeters))
deltaV=2*SQRT(9.81J*149597870700K)
Divide by 1000 to obtain km/s
</t>
        </r>
      </text>
    </comment>
    <comment ref="R3" authorId="0" shapeId="0">
      <text>
        <r>
          <rPr>
            <b/>
            <sz val="9"/>
            <color indexed="81"/>
            <rFont val="Tahoma"/>
            <family val="2"/>
          </rPr>
          <t>Luis Enrique Torres:</t>
        </r>
        <r>
          <rPr>
            <sz val="9"/>
            <color indexed="81"/>
            <rFont val="Tahoma"/>
            <family val="2"/>
          </rPr>
          <t xml:space="preserve">
From http://www.projectrho.com/public_html/rocket/blastoff.php:
Acceleration = Thrust/CurrentMass
Acceleration in m/s, divide by 9.81 for Gs
Thrust in Newtons
CurrentMass in kg
Thrust=G*E*1000
(G=thrust in KN, we need it in N so we multiply by 1000; E is the engine effectiveness percentage)
CurrentMass=I*1000
(we need mass in Kg. It is in tons so we multiply by 1000 to get kg)
We divide by 9.81 to get it in gees
So:
Acceleration=(G*E*1000)/(I*1000)/9.81
</t>
        </r>
      </text>
    </comment>
    <comment ref="S3" authorId="0" shapeId="0">
      <text>
        <r>
          <rPr>
            <b/>
            <sz val="9"/>
            <color indexed="81"/>
            <rFont val="Tahoma"/>
            <family val="2"/>
          </rPr>
          <t>Luis Enrique Torres:</t>
        </r>
        <r>
          <rPr>
            <sz val="9"/>
            <color indexed="81"/>
            <rFont val="Tahoma"/>
            <family val="2"/>
          </rPr>
          <t xml:space="preserve">
Number of total trips (L) times duration of each trip in weeks (M) times 7 gives us maximum number of days in the ship. This is the maximum trip acceleration (J), not the maximum possible ship acceleration.
This is useful to calculate how much life support and how much food is needed.</t>
        </r>
      </text>
    </comment>
    <comment ref="T3" authorId="0" shapeId="0">
      <text>
        <r>
          <rPr>
            <b/>
            <sz val="9"/>
            <color indexed="81"/>
            <rFont val="Tahoma"/>
            <family val="2"/>
          </rPr>
          <t>Luis Enrique Torres:</t>
        </r>
        <r>
          <rPr>
            <sz val="9"/>
            <color indexed="81"/>
            <rFont val="Tahoma"/>
            <family val="2"/>
          </rPr>
          <t xml:space="preserve">
From http://www.projectrho.com/public_html/rocket/engines.php:
DeltaV=ExhaustVelocity*Ln(MassRatio)
ExhaustVelocity in m/s
DeltaV in m/s
LN = natural Logarythn
DeltaV=F*Ln(Q)
Since E represents the Engine effectiveness in this time period, we multiply Exhaust Velocity by it
DeltaV=E*F*Ln(Q)
F is in Km, so we multiply by 1000; we want DeltaV in Km/s, so we divide by 1000
DeltaV=E*F*1000*Ln(Q)/1000</t>
        </r>
      </text>
    </comment>
    <comment ref="U3" authorId="0" shapeId="0">
      <text>
        <r>
          <rPr>
            <b/>
            <sz val="9"/>
            <color indexed="81"/>
            <rFont val="Tahoma"/>
            <family val="2"/>
          </rPr>
          <t>Luis Enrique Torres:</t>
        </r>
        <r>
          <rPr>
            <sz val="9"/>
            <color indexed="81"/>
            <rFont val="Tahoma"/>
            <family val="2"/>
          </rPr>
          <t xml:space="preserve">
From http://www.projectrho.com/public_html/rocket/engines.php:
Propellant Fraction = 1-(1/MassRatio)
Propellant Fraction is percentage of the mass that is propellant
(1/MassRatio)=1-PropellantFraction
MassRatio=1/(1-PropellantFraction)
MassRatio=1/(1-H)
</t>
        </r>
      </text>
    </comment>
    <comment ref="V3" authorId="0" shapeId="0">
      <text>
        <r>
          <rPr>
            <b/>
            <sz val="9"/>
            <color indexed="81"/>
            <rFont val="Tahoma"/>
            <family val="2"/>
          </rPr>
          <t>Luis Enrique Torres:</t>
        </r>
        <r>
          <rPr>
            <sz val="9"/>
            <color indexed="81"/>
            <rFont val="Tahoma"/>
            <family val="2"/>
          </rPr>
          <t xml:space="preserve">
Multiply total Mass (I) by percentage of Mass that is propellant (H) to get this.</t>
        </r>
      </text>
    </comment>
    <comment ref="W3" authorId="0" shapeId="0">
      <text>
        <r>
          <rPr>
            <b/>
            <sz val="9"/>
            <color indexed="81"/>
            <rFont val="Tahoma"/>
            <family val="2"/>
          </rPr>
          <t>Luis Enrique Torres:</t>
        </r>
        <r>
          <rPr>
            <sz val="9"/>
            <color indexed="81"/>
            <rFont val="Tahoma"/>
            <family val="2"/>
          </rPr>
          <t xml:space="preserve">
Multiply the total ship mass (I) by what is NOT propellant (1-H) to get the Payload mass, which is whatever is left after storing the propellant.</t>
        </r>
      </text>
    </comment>
    <comment ref="X3" authorId="0" shapeId="0">
      <text>
        <r>
          <rPr>
            <b/>
            <sz val="9"/>
            <color indexed="81"/>
            <rFont val="Tahoma"/>
            <family val="2"/>
          </rPr>
          <t>Luis Enrique Torres:</t>
        </r>
        <r>
          <rPr>
            <sz val="9"/>
            <color indexed="81"/>
            <rFont val="Tahoma"/>
            <family val="2"/>
          </rPr>
          <t xml:space="preserve">
From http://www.projectrho.com/public_html/rocket/advdesign.php:
We assume a density of 0.25tons per m3, or 1 ton=4m3. This equals density of a jet airliner.
Because of that, we multiply Tonnage by 4 to get m3.
In the case of propellant, we assume the density of water. therefore, 1ton=1m3</t>
        </r>
      </text>
    </comment>
    <comment ref="Y3" authorId="0" shapeId="0">
      <text>
        <r>
          <rPr>
            <b/>
            <sz val="9"/>
            <color indexed="81"/>
            <rFont val="Tahoma"/>
            <family val="2"/>
          </rPr>
          <t>Luis Enrique Torres:</t>
        </r>
        <r>
          <rPr>
            <sz val="9"/>
            <color indexed="81"/>
            <rFont val="Tahoma"/>
            <family val="2"/>
          </rPr>
          <t xml:space="preserve">
We can guesstimate how big or small the engine is here. This is a percentage of the payload.
</t>
        </r>
      </text>
    </comment>
    <comment ref="Z3" authorId="0" shapeId="0">
      <text>
        <r>
          <rPr>
            <b/>
            <sz val="9"/>
            <color indexed="81"/>
            <rFont val="Tahoma"/>
            <family val="2"/>
          </rPr>
          <t>Luis Enrique Torres:</t>
        </r>
        <r>
          <rPr>
            <sz val="9"/>
            <color indexed="81"/>
            <rFont val="Tahoma"/>
            <family val="2"/>
          </rPr>
          <t xml:space="preserve">
Using the Engine % we calculate how much of the payload Tons is actually engine. (U*S)</t>
        </r>
      </text>
    </comment>
    <comment ref="AA3" authorId="0" shapeId="0">
      <text>
        <r>
          <rPr>
            <b/>
            <sz val="9"/>
            <color indexed="81"/>
            <rFont val="Tahoma"/>
            <family val="2"/>
          </rPr>
          <t>Luis Enrique Torres:</t>
        </r>
        <r>
          <rPr>
            <sz val="9"/>
            <color indexed="81"/>
            <rFont val="Tahoma"/>
            <family val="2"/>
          </rPr>
          <t xml:space="preserve">
Left for passengers (including life support, etc) is whatever is left from the previous calculation.</t>
        </r>
      </text>
    </comment>
    <comment ref="AB3" authorId="0" shapeId="0">
      <text>
        <r>
          <rPr>
            <b/>
            <sz val="9"/>
            <color indexed="81"/>
            <rFont val="Tahoma"/>
            <family val="2"/>
          </rPr>
          <t>Luis Enrique Torres:</t>
        </r>
        <r>
          <rPr>
            <sz val="9"/>
            <color indexed="81"/>
            <rFont val="Tahoma"/>
            <family val="2"/>
          </rPr>
          <t xml:space="preserve">
As stated before, we are estimating density is 1ton = 4m3.</t>
        </r>
      </text>
    </comment>
    <comment ref="AC3" authorId="0" shapeId="0">
      <text>
        <r>
          <rPr>
            <b/>
            <sz val="10"/>
            <color indexed="81"/>
            <rFont val="Tahoma"/>
            <family val="2"/>
          </rPr>
          <t>Luis Enrique Torres:</t>
        </r>
        <r>
          <rPr>
            <sz val="10"/>
            <color indexed="81"/>
            <rFont val="Tahoma"/>
            <family val="2"/>
          </rPr>
          <t xml:space="preserve">
From http://www.projectrho.com/public_html/rocket/appequations.php:
Volume of a sphere = 4/3*PI*r^3
r^3=Volume/(4/3*PI)
radius=ThirdRoot(Volume/(4/3*PI)
the Volume in m3 is the Payload volume (R+T). Remember that for the Propellant, 1Ton=1m3.so adding Propellant Tons plus Payload m3 should be total volume in m3.
radius=ThirdRoot((R+T)/(4/3*PI))</t>
        </r>
      </text>
    </comment>
    <comment ref="AD3" authorId="0" shapeId="0">
      <text>
        <r>
          <rPr>
            <b/>
            <sz val="9"/>
            <color indexed="81"/>
            <rFont val="Tahoma"/>
            <family val="2"/>
          </rPr>
          <t>Luis Enrique Torres:</t>
        </r>
        <r>
          <rPr>
            <sz val="9"/>
            <color indexed="81"/>
            <rFont val="Tahoma"/>
            <family val="2"/>
          </rPr>
          <t xml:space="preserve">
This is how long it would take to travel the maximum possible distance this ship can fly. It is in weeks.
Formula (from Atomic Rockets; Brachristochrone Novogram):
accel = distance / (time/2)^2
Accel in m/s2
Time in seconds
Distance in meters
(time/2)^2 = distance/acceleration
time=2*SQRT(distance/acceleration)
=2*SQRT(AA/O)
time is in seconds, we need it in weeks, so we divide by 24*7*3600
Distance is in AUs, we need it in m, so we multiply by 149,597,870,700 meters
Acceleration is in gees, we need it in m/s2 so we multiply by 9.81</t>
        </r>
      </text>
    </comment>
    <comment ref="AE3" authorId="0" shapeId="0">
      <text>
        <r>
          <rPr>
            <b/>
            <sz val="9"/>
            <color indexed="81"/>
            <rFont val="Tahoma"/>
            <family val="2"/>
          </rPr>
          <t>Luis Enrique Torres:</t>
        </r>
        <r>
          <rPr>
            <sz val="9"/>
            <color indexed="81"/>
            <rFont val="Tahoma"/>
            <family val="2"/>
          </rPr>
          <t xml:space="preserve">
This is the maximum distance this ship can fly at maximum acceleration.
Formula (from Atomic Rockets; Brachristochrone Novogram):
accel = (deltaV/2)^2 / distance
distance = (deltaV/2)^2 / acceleration
=(P/2)*(P/2)/(O)
P is in km/s, we need it in m so we multiply by 1000
O is in Gs, we need it in m/s2 so we multiply by 9.81
Distance is in m, we need it in AUs, so we divide by 149,597,870,700
=(P*1000/2)*(P*1000/2)/(O*9.81)/149597870700
</t>
        </r>
      </text>
    </comment>
    <comment ref="AF3" authorId="0" shapeId="0">
      <text>
        <r>
          <rPr>
            <b/>
            <sz val="9"/>
            <color indexed="81"/>
            <rFont val="Tahoma"/>
            <family val="2"/>
          </rPr>
          <t>Luis Enrique Torres:</t>
        </r>
        <r>
          <rPr>
            <sz val="9"/>
            <color indexed="81"/>
            <rFont val="Tahoma"/>
            <family val="2"/>
          </rPr>
          <t xml:space="preserve">
Minimum is 1m3 (extremely uncomfortable, inhumane conditions). See Atomic Rockets http://www.projectrho.com/public_html/rocket/lifesupport.php</t>
        </r>
      </text>
    </comment>
    <comment ref="AG3" authorId="0" shapeId="0">
      <text>
        <r>
          <rPr>
            <b/>
            <sz val="9"/>
            <color indexed="81"/>
            <rFont val="Tahoma"/>
            <family val="2"/>
          </rPr>
          <t>Luis Enrique Torres:</t>
        </r>
        <r>
          <rPr>
            <sz val="9"/>
            <color indexed="81"/>
            <rFont val="Tahoma"/>
            <family val="2"/>
          </rPr>
          <t xml:space="preserve">
Incluye passenger weight plus belongings, plus spport equipment (desks, exercise machinery, books, etc). For an evacuee, treat as 100kg. </t>
        </r>
      </text>
    </comment>
    <comment ref="AI3" authorId="0" shapeId="0">
      <text>
        <r>
          <rPr>
            <b/>
            <sz val="9"/>
            <color indexed="81"/>
            <rFont val="Tahoma"/>
            <family val="2"/>
          </rPr>
          <t>Luis Enrique Torres:</t>
        </r>
        <r>
          <rPr>
            <sz val="9"/>
            <color indexed="81"/>
            <rFont val="Tahoma"/>
            <family val="2"/>
          </rPr>
          <t xml:space="preserve">
En el sobrante asumir que van armas, engine, reactor, etc. Aquí sí estoy haciendo copping out porque no voy a estimar los extras.</t>
        </r>
      </text>
    </comment>
    <comment ref="AK3" authorId="0" shapeId="0">
      <text>
        <r>
          <rPr>
            <b/>
            <sz val="9"/>
            <color indexed="81"/>
            <rFont val="Tahoma"/>
            <family val="2"/>
          </rPr>
          <t>Luis Enrique Torres:</t>
        </r>
        <r>
          <rPr>
            <sz val="9"/>
            <color indexed="81"/>
            <rFont val="Tahoma"/>
            <family val="2"/>
          </rPr>
          <t xml:space="preserve">
En http://www.projectrho.com/public_html/rocket/lifesupport.php se explica cómo el USS Wyoming para 150 personas y 90 días gasta en total 165m3 en comida congelada, seca, enlatada, almacenamiento de ésta, agua y aire comprimido (ver link y revisar sección "How much food?" para ver el calculo). Dividiendo 165m3 entre 13500 personas-día, sacamos un total de 0.012222 m3 de provisiones y aire por persona por día.
Añadamos "niceties" (better cooking gear, spare clothing, toilet paper, video games, soda, luxury goods); y pongamos un margen GENEROSO. para esto vamos a TRIPLICAR el monto por protección, para 0.036666m3 de provisiones.</t>
        </r>
      </text>
    </comment>
    <comment ref="AL3" authorId="0" shapeId="0">
      <text>
        <r>
          <rPr>
            <b/>
            <sz val="9"/>
            <color indexed="81"/>
            <rFont val="Tahoma"/>
            <family val="2"/>
          </rPr>
          <t>Luis Enrique Torres:</t>
        </r>
        <r>
          <rPr>
            <sz val="9"/>
            <color indexed="81"/>
            <rFont val="Tahoma"/>
            <family val="2"/>
          </rPr>
          <t xml:space="preserve">
como siempre 1Ton = 4m3</t>
        </r>
      </text>
    </comment>
    <comment ref="AO3" authorId="0" shapeId="0">
      <text>
        <r>
          <rPr>
            <b/>
            <sz val="9"/>
            <color indexed="81"/>
            <rFont val="Tahoma"/>
            <family val="2"/>
          </rPr>
          <t>Luis Enrique Torres:</t>
        </r>
        <r>
          <rPr>
            <sz val="9"/>
            <color indexed="81"/>
            <rFont val="Tahoma"/>
            <family val="2"/>
          </rPr>
          <t xml:space="preserve">
Including Crew</t>
        </r>
      </text>
    </comment>
    <comment ref="AR3" authorId="0" shapeId="0">
      <text>
        <r>
          <rPr>
            <b/>
            <sz val="9"/>
            <color indexed="81"/>
            <rFont val="Tahoma"/>
            <family val="2"/>
          </rPr>
          <t>Luis Enrique Torres:</t>
        </r>
        <r>
          <rPr>
            <sz val="9"/>
            <color indexed="81"/>
            <rFont val="Tahoma"/>
            <family val="2"/>
          </rPr>
          <t xml:space="preserve">
Asumimos altura de 2.20m, o el average entre pasillos por los que la gente flota (1.5?) y ambientes de más altura. </t>
        </r>
      </text>
    </comment>
    <comment ref="AU3" authorId="0" shapeId="0">
      <text>
        <r>
          <rPr>
            <b/>
            <sz val="9"/>
            <color indexed="81"/>
            <rFont val="Tahoma"/>
            <family val="2"/>
          </rPr>
          <t>Luis Enrique Torres:</t>
        </r>
        <r>
          <rPr>
            <sz val="9"/>
            <color indexed="81"/>
            <rFont val="Tahoma"/>
            <family val="2"/>
          </rPr>
          <t xml:space="preserve">
Curently this is my idea on how to convert Top Acceleration (in Gs) into Savage Worlds Top Acceleration:
less than or equal to 0.49G: 4
between 0.5G and 2.99G: 6
between 3G and 4.49G: 8
between 4.5G and 6.49G: 10
equal to or above 6.5G: 12</t>
        </r>
      </text>
    </comment>
    <comment ref="G15" authorId="0" shapeId="0">
      <text>
        <r>
          <rPr>
            <b/>
            <sz val="9"/>
            <color indexed="81"/>
            <rFont val="Tahoma"/>
            <family val="2"/>
          </rPr>
          <t>Luis Enrique Torres:</t>
        </r>
        <r>
          <rPr>
            <sz val="9"/>
            <color indexed="81"/>
            <rFont val="Tahoma"/>
            <family val="2"/>
          </rPr>
          <t xml:space="preserve">
Estoy multiplicando los numeros de He3-D fusion por 2, tanto en Exhaust como en Thrust. Atomic Rockets no da datos. Estoy exagerando pero no importa :-) Lo dejaré pasar</t>
        </r>
      </text>
    </comment>
    <comment ref="I15" authorId="0" shapeId="0">
      <text>
        <r>
          <rPr>
            <b/>
            <sz val="9"/>
            <color indexed="81"/>
            <rFont val="Tahoma"/>
            <family val="2"/>
          </rPr>
          <t>Luis Enrique Torres:</t>
        </r>
        <r>
          <rPr>
            <sz val="9"/>
            <color indexed="81"/>
            <rFont val="Tahoma"/>
            <family val="2"/>
          </rPr>
          <t xml:space="preserve">
Estoy multiplicando los numeros de He3-D fusion por 2, tanto en Exhaust como en Thrust. Atomic Rockets no da datos. Estoy exagerando pero no importa :-) Lo dejaré pasar</t>
        </r>
      </text>
    </comment>
  </commentList>
</comments>
</file>

<file path=xl/sharedStrings.xml><?xml version="1.0" encoding="utf-8"?>
<sst xmlns="http://schemas.openxmlformats.org/spreadsheetml/2006/main" count="155" uniqueCount="109">
  <si>
    <t>Year</t>
  </si>
  <si>
    <t>Mass ratio</t>
  </si>
  <si>
    <t>% Propellant</t>
  </si>
  <si>
    <t>Mass (Tons)</t>
  </si>
  <si>
    <t>Payload (Tons)</t>
  </si>
  <si>
    <t>Sphere Radius (m)</t>
  </si>
  <si>
    <t>Trip Distance (AU)</t>
  </si>
  <si>
    <t>Max Accl. (g)</t>
  </si>
  <si>
    <t>Trip Accl. (g)</t>
  </si>
  <si>
    <t>Propellant (Tons)</t>
  </si>
  <si>
    <r>
      <t xml:space="preserve">Max g Max </t>
    </r>
    <r>
      <rPr>
        <b/>
        <sz val="11"/>
        <color theme="0"/>
        <rFont val="Calibri"/>
        <family val="2"/>
      </rPr>
      <t>ΔV Distance (Aus)</t>
    </r>
  </si>
  <si>
    <r>
      <t xml:space="preserve">Max g Max </t>
    </r>
    <r>
      <rPr>
        <b/>
        <sz val="11"/>
        <color theme="0"/>
        <rFont val="Calibri"/>
        <family val="2"/>
      </rPr>
      <t>ΔV Time (Weeks)</t>
    </r>
  </si>
  <si>
    <t>Total ΔV (Km/s)</t>
  </si>
  <si>
    <t>Trip ΔV (km/s)</t>
  </si>
  <si>
    <t>Exhaust (Km/s)</t>
  </si>
  <si>
    <t>Thrust (kN)</t>
  </si>
  <si>
    <t>Knobs</t>
  </si>
  <si>
    <t>Input Data</t>
  </si>
  <si>
    <t>Comments</t>
  </si>
  <si>
    <t>He3-D Fusion</t>
  </si>
  <si>
    <t>Payload Mass (m3)</t>
  </si>
  <si>
    <t>Engine, frame, reactor, etc (%)</t>
  </si>
  <si>
    <t>Passenger Payload (Tons)</t>
  </si>
  <si>
    <t>Engine, frame, reactor, etc (T)</t>
  </si>
  <si>
    <t>Surface-to-Orbit 30%</t>
  </si>
  <si>
    <t>Surface-to-Orbit 50%</t>
  </si>
  <si>
    <t>Surface-to-Orbit 70%</t>
  </si>
  <si>
    <t>Surface-to-Orbit 100%</t>
  </si>
  <si>
    <t>Mark I Settler Ship (2120)</t>
  </si>
  <si>
    <t>Mark II Settler Ship (2125)</t>
  </si>
  <si>
    <t>Mark III Settler Ship (2140)</t>
  </si>
  <si>
    <t>Mark IV Settler Ship (2145)</t>
  </si>
  <si>
    <t>He3-He3 Fusion</t>
  </si>
  <si>
    <t>Passenger Payload Mass (m3)</t>
  </si>
  <si>
    <t>Time for 1 trip between two jump points (weeks)</t>
  </si>
  <si>
    <t>Payload disponible para habitación de pasajeros (tons)</t>
  </si>
  <si>
    <t>Comida + Agua + Aire (Tons por Pasajero para todo el viaje)</t>
  </si>
  <si>
    <t>Espacio para pasajero (Tons por pasajero</t>
  </si>
  <si>
    <t>Peso de persona más implementos (Tons por pasajero)</t>
  </si>
  <si>
    <t>Total de Tons por pasajero</t>
  </si>
  <si>
    <t>Payload para sistemas de soporte y others (Tons)</t>
  </si>
  <si>
    <t>Toughness</t>
  </si>
  <si>
    <t>Handling</t>
  </si>
  <si>
    <t>Crew</t>
  </si>
  <si>
    <t>+1</t>
  </si>
  <si>
    <t>(Armor)</t>
  </si>
  <si>
    <t>(12)</t>
  </si>
  <si>
    <t>-1</t>
  </si>
  <si>
    <t>-2</t>
  </si>
  <si>
    <t>(10)</t>
  </si>
  <si>
    <t>Passenger Liner (non-luxury)</t>
  </si>
  <si>
    <t>Like Mining Ship</t>
  </si>
  <si>
    <t>OtS Shuttles for evacuation (Mark I)</t>
  </si>
  <si>
    <t>OtS Shuttles for evacuation (Mark II)</t>
  </si>
  <si>
    <t>OtS Shuttles for evacuation (Mark III)</t>
  </si>
  <si>
    <t>OtS Shuttles for evacuation (Mark IV)</t>
  </si>
  <si>
    <t>Jumps</t>
  </si>
  <si>
    <t>Mark V Settler Ship</t>
  </si>
  <si>
    <t>Passengers</t>
  </si>
  <si>
    <t>Total Passengers</t>
  </si>
  <si>
    <t>Shield Effects</t>
  </si>
  <si>
    <t>Weapons</t>
  </si>
  <si>
    <t>None</t>
  </si>
  <si>
    <t>Battleship</t>
  </si>
  <si>
    <t>0</t>
  </si>
  <si>
    <t>% Engine Efectiveness</t>
  </si>
  <si>
    <t># Engines</t>
  </si>
  <si>
    <t>Effective Exhaust (Km/s)</t>
  </si>
  <si>
    <t>Effective Thrust (kN)</t>
  </si>
  <si>
    <t>Engine Type</t>
  </si>
  <si>
    <t>Troop / Supply Ship</t>
  </si>
  <si>
    <t>Patrol Ship</t>
  </si>
  <si>
    <t>Heat Radiation</t>
  </si>
  <si>
    <t>Research Ship</t>
  </si>
  <si>
    <t>Circle Patrol Ship ("Voyager")</t>
  </si>
  <si>
    <t>(50)</t>
  </si>
  <si>
    <t>instead of 609 passengers, 40K m3 of cargo</t>
  </si>
  <si>
    <t>(14)</t>
  </si>
  <si>
    <t>Weeks per Jump</t>
  </si>
  <si>
    <t>Top Acceleration (SW)</t>
  </si>
  <si>
    <t>Max Acceleration (Gs)</t>
  </si>
  <si>
    <t>Minor defensive weapons</t>
  </si>
  <si>
    <t>num trips</t>
  </si>
  <si>
    <t>Pirate Ship (Small)</t>
  </si>
  <si>
    <t>Pirate Ship (Large)</t>
  </si>
  <si>
    <t>Transport Shuttle</t>
  </si>
  <si>
    <t>Skimming mini-ship</t>
  </si>
  <si>
    <t>Also Emergency escape ship for Renner Station</t>
  </si>
  <si>
    <t>Engine Frame Mass (Tons)</t>
  </si>
  <si>
    <t>(6)</t>
  </si>
  <si>
    <t>(60)</t>
  </si>
  <si>
    <t>Unmanned Ship</t>
  </si>
  <si>
    <t>Heavy Cruiser</t>
  </si>
  <si>
    <t>(36)</t>
  </si>
  <si>
    <t>MW spent per passenger</t>
  </si>
  <si>
    <t>Ship Model</t>
  </si>
  <si>
    <t>Trips</t>
  </si>
  <si>
    <t>Maximum Capacity</t>
  </si>
  <si>
    <t>Ship General Description</t>
  </si>
  <si>
    <t>Passenger Capacity</t>
  </si>
  <si>
    <t>m3 of space per passenger</t>
  </si>
  <si>
    <t>Weight of person plus implements (kg)</t>
  </si>
  <si>
    <t>Payload for support systems &amp; others (%)</t>
  </si>
  <si>
    <t>Max # of Passengers</t>
  </si>
  <si>
    <t>passageway average height (m)</t>
  </si>
  <si>
    <t>effective ship m2</t>
  </si>
  <si>
    <t>Savage Worlds Stats</t>
  </si>
  <si>
    <t>Trip Days</t>
  </si>
  <si>
    <t>"livable" m3 in the ship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</si>
</sst>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5" formatCode="0.0"/>
    <numFmt numFmtId="166" formatCode="0.000"/>
  </numFmts>
  <fonts count="13" x14ac:knownFonts="1">
    <font>
      <sz val="11"/>
      <color theme="1"/>
      <name val="Calibri"/>
      <family val="2"/>
      <scheme val="minor"/>
    </font>
    <font>
      <sz val="10"/>
      <color indexed="81"/>
      <name val="Tahoma"/>
      <family val="2"/>
    </font>
    <font>
      <b/>
      <sz val="10"/>
      <color indexed="81"/>
      <name val="Tahoma"/>
      <family val="2"/>
    </font>
    <font>
      <sz val="11"/>
      <color theme="1"/>
      <name val="Calibri"/>
      <family val="2"/>
      <scheme val="minor"/>
    </font>
    <font>
      <b/>
      <sz val="11"/>
      <color theme="0"/>
      <name val="Calibri"/>
      <family val="2"/>
      <scheme val="minor"/>
    </font>
    <font>
      <b/>
      <sz val="11"/>
      <color theme="0"/>
      <name val="Calibri"/>
      <family val="2"/>
    </font>
    <font>
      <b/>
      <sz val="11"/>
      <color theme="1"/>
      <name val="Calibri"/>
      <family val="2"/>
      <scheme val="minor"/>
    </font>
    <font>
      <b/>
      <sz val="11"/>
      <name val="Calibri"/>
      <family val="2"/>
      <scheme val="minor"/>
    </font>
    <font>
      <sz val="9"/>
      <color indexed="81"/>
      <name val="Tahoma"/>
      <family val="2"/>
    </font>
    <font>
      <b/>
      <sz val="9"/>
      <color indexed="81"/>
      <name val="Tahoma"/>
      <family val="2"/>
    </font>
    <font>
      <b/>
      <i/>
      <sz val="11"/>
      <name val="Calibri"/>
      <family val="2"/>
      <scheme val="minor"/>
    </font>
    <font>
      <b/>
      <sz val="11"/>
      <color rgb="FFFF0000"/>
      <name val="Calibri"/>
      <family val="2"/>
      <scheme val="minor"/>
    </font>
    <font>
      <sz val="11"/>
      <color rgb="FFFF0000"/>
      <name val="Calibri"/>
      <family val="2"/>
      <scheme val="minor"/>
    </font>
  </fonts>
  <fills count="14">
    <fill>
      <patternFill patternType="none"/>
    </fill>
    <fill>
      <patternFill patternType="gray125"/>
    </fill>
    <fill>
      <patternFill patternType="solid">
        <fgColor theme="1"/>
        <bgColor indexed="64"/>
      </patternFill>
    </fill>
    <fill>
      <patternFill patternType="solid">
        <fgColor theme="3"/>
        <bgColor indexed="64"/>
      </patternFill>
    </fill>
    <fill>
      <patternFill patternType="solid">
        <fgColor theme="5"/>
        <bgColor indexed="64"/>
      </patternFill>
    </fill>
    <fill>
      <patternFill patternType="solid">
        <fgColor theme="6"/>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7"/>
        <bgColor indexed="64"/>
      </patternFill>
    </fill>
    <fill>
      <patternFill patternType="solid">
        <fgColor theme="7" tint="0.79998168889431442"/>
        <bgColor indexed="64"/>
      </patternFill>
    </fill>
    <fill>
      <patternFill patternType="solid">
        <fgColor theme="2" tint="-0.499984740745262"/>
        <bgColor indexed="64"/>
      </patternFill>
    </fill>
    <fill>
      <patternFill patternType="solid">
        <fgColor theme="9" tint="-0.249977111117893"/>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3" fillId="0" borderId="0" applyFont="0" applyFill="0" applyBorder="0" applyAlignment="0" applyProtection="0"/>
  </cellStyleXfs>
  <cellXfs count="64">
    <xf numFmtId="0" fontId="0" fillId="0" borderId="0" xfId="0"/>
    <xf numFmtId="0" fontId="0" fillId="0" borderId="0" xfId="0" applyAlignment="1">
      <alignment wrapText="1"/>
    </xf>
    <xf numFmtId="0" fontId="4" fillId="3" borderId="1" xfId="0" applyFont="1" applyFill="1" applyBorder="1" applyAlignment="1">
      <alignment horizontal="center" wrapText="1"/>
    </xf>
    <xf numFmtId="0" fontId="4" fillId="5" borderId="1" xfId="0" applyFont="1" applyFill="1" applyBorder="1" applyAlignment="1">
      <alignment horizontal="center" wrapText="1"/>
    </xf>
    <xf numFmtId="0" fontId="0" fillId="7" borderId="1" xfId="0" applyFill="1" applyBorder="1"/>
    <xf numFmtId="0" fontId="4" fillId="4" borderId="1" xfId="0" applyFont="1" applyFill="1" applyBorder="1" applyAlignment="1">
      <alignment horizontal="center" wrapText="1"/>
    </xf>
    <xf numFmtId="0" fontId="4" fillId="2" borderId="1" xfId="0" applyFont="1" applyFill="1" applyBorder="1" applyAlignment="1">
      <alignment horizontal="center" wrapText="1"/>
    </xf>
    <xf numFmtId="2" fontId="0" fillId="7" borderId="1" xfId="0" applyNumberFormat="1" applyFill="1" applyBorder="1"/>
    <xf numFmtId="1" fontId="0" fillId="6" borderId="1" xfId="0" applyNumberFormat="1" applyFill="1" applyBorder="1"/>
    <xf numFmtId="165" fontId="0" fillId="6" borderId="1" xfId="0" applyNumberFormat="1" applyFill="1" applyBorder="1"/>
    <xf numFmtId="165" fontId="0" fillId="7" borderId="1" xfId="0" applyNumberFormat="1" applyFill="1" applyBorder="1"/>
    <xf numFmtId="0" fontId="6" fillId="8" borderId="1" xfId="0" applyFont="1" applyFill="1" applyBorder="1" applyAlignment="1">
      <alignment horizontal="right"/>
    </xf>
    <xf numFmtId="0" fontId="0" fillId="8" borderId="1" xfId="0" applyFont="1" applyFill="1" applyBorder="1"/>
    <xf numFmtId="0" fontId="4" fillId="9" borderId="1" xfId="0" applyFont="1" applyFill="1" applyBorder="1" applyAlignment="1">
      <alignment horizontal="center" wrapText="1"/>
    </xf>
    <xf numFmtId="2" fontId="0" fillId="10" borderId="1" xfId="0" applyNumberFormat="1" applyFont="1" applyFill="1" applyBorder="1"/>
    <xf numFmtId="1" fontId="0" fillId="10" borderId="1" xfId="0" applyNumberFormat="1" applyFill="1" applyBorder="1"/>
    <xf numFmtId="0" fontId="7" fillId="0" borderId="2" xfId="0" applyFont="1" applyFill="1" applyBorder="1" applyAlignment="1"/>
    <xf numFmtId="0" fontId="0" fillId="8" borderId="1" xfId="0" applyFont="1" applyFill="1" applyBorder="1" applyAlignment="1">
      <alignment horizontal="left"/>
    </xf>
    <xf numFmtId="1" fontId="0" fillId="7" borderId="1" xfId="0" applyNumberFormat="1" applyFill="1" applyBorder="1"/>
    <xf numFmtId="1" fontId="6" fillId="0" borderId="1" xfId="0" applyNumberFormat="1" applyFont="1" applyFill="1" applyBorder="1"/>
    <xf numFmtId="0" fontId="4" fillId="11" borderId="1" xfId="0" applyFont="1" applyFill="1" applyBorder="1" applyAlignment="1">
      <alignment horizontal="center" wrapText="1"/>
    </xf>
    <xf numFmtId="1" fontId="6" fillId="0" borderId="0" xfId="0" applyNumberFormat="1" applyFont="1" applyFill="1" applyBorder="1"/>
    <xf numFmtId="0" fontId="0" fillId="7" borderId="1" xfId="0" applyNumberFormat="1" applyFill="1" applyBorder="1"/>
    <xf numFmtId="9" fontId="6" fillId="0" borderId="1" xfId="1" applyFont="1" applyFill="1" applyBorder="1"/>
    <xf numFmtId="166" fontId="0" fillId="7" borderId="1" xfId="0" applyNumberFormat="1" applyFill="1" applyBorder="1"/>
    <xf numFmtId="1" fontId="6" fillId="7" borderId="1" xfId="0" applyNumberFormat="1" applyFont="1" applyFill="1" applyBorder="1"/>
    <xf numFmtId="1" fontId="0" fillId="7" borderId="1" xfId="0" applyNumberFormat="1" applyFont="1" applyFill="1" applyBorder="1"/>
    <xf numFmtId="2" fontId="0" fillId="13" borderId="1" xfId="0" applyNumberFormat="1" applyFill="1" applyBorder="1"/>
    <xf numFmtId="1" fontId="0" fillId="13" borderId="1" xfId="0" applyNumberFormat="1" applyFill="1" applyBorder="1"/>
    <xf numFmtId="0" fontId="0" fillId="0" borderId="1" xfId="0" applyBorder="1"/>
    <xf numFmtId="49" fontId="0" fillId="0" borderId="1" xfId="0" applyNumberFormat="1" applyBorder="1" applyAlignment="1">
      <alignment horizontal="center"/>
    </xf>
    <xf numFmtId="0" fontId="0" fillId="0" borderId="0" xfId="0" applyAlignment="1">
      <alignment horizontal="center"/>
    </xf>
    <xf numFmtId="0" fontId="0" fillId="0" borderId="1" xfId="0" applyBorder="1" applyAlignment="1">
      <alignment horizontal="center"/>
    </xf>
    <xf numFmtId="1" fontId="0" fillId="0" borderId="0" xfId="0" applyNumberFormat="1"/>
    <xf numFmtId="0" fontId="4" fillId="12" borderId="1" xfId="0" applyFont="1" applyFill="1" applyBorder="1" applyAlignment="1">
      <alignment horizontal="center" wrapText="1"/>
    </xf>
    <xf numFmtId="165" fontId="0" fillId="10" borderId="1" xfId="0" applyNumberFormat="1" applyFill="1" applyBorder="1"/>
    <xf numFmtId="0" fontId="0" fillId="0" borderId="1" xfId="0" applyNumberFormat="1" applyBorder="1" applyAlignment="1">
      <alignment horizontal="center"/>
    </xf>
    <xf numFmtId="1" fontId="0" fillId="0" borderId="1" xfId="0" applyNumberFormat="1" applyBorder="1" applyAlignment="1">
      <alignment horizontal="center"/>
    </xf>
    <xf numFmtId="165" fontId="0" fillId="13" borderId="1" xfId="0" applyNumberFormat="1" applyFill="1" applyBorder="1"/>
    <xf numFmtId="9" fontId="6" fillId="0" borderId="1" xfId="0" applyNumberFormat="1" applyFont="1" applyFill="1" applyBorder="1" applyAlignment="1">
      <alignment horizontal="right"/>
    </xf>
    <xf numFmtId="1" fontId="6" fillId="0" borderId="1" xfId="0" applyNumberFormat="1" applyFont="1" applyFill="1" applyBorder="1" applyAlignment="1">
      <alignment horizontal="right"/>
    </xf>
    <xf numFmtId="9" fontId="10" fillId="0" borderId="1" xfId="0" applyNumberFormat="1" applyFont="1" applyFill="1" applyBorder="1"/>
    <xf numFmtId="0" fontId="10" fillId="0" borderId="1" xfId="0" applyFont="1" applyFill="1" applyBorder="1"/>
    <xf numFmtId="9" fontId="6" fillId="0" borderId="1" xfId="0" applyNumberFormat="1" applyFont="1" applyFill="1" applyBorder="1"/>
    <xf numFmtId="0" fontId="11" fillId="0" borderId="1" xfId="0" applyFont="1" applyBorder="1" applyAlignment="1">
      <alignment horizontal="center"/>
    </xf>
    <xf numFmtId="49" fontId="11" fillId="0" borderId="1" xfId="0" applyNumberFormat="1" applyFont="1" applyBorder="1" applyAlignment="1">
      <alignment horizontal="center"/>
    </xf>
    <xf numFmtId="0" fontId="0" fillId="13" borderId="1" xfId="0" applyNumberFormat="1" applyFill="1" applyBorder="1" applyAlignment="1">
      <alignment horizontal="center"/>
    </xf>
    <xf numFmtId="0" fontId="0" fillId="0" borderId="1" xfId="0" applyFont="1" applyFill="1" applyBorder="1"/>
    <xf numFmtId="0" fontId="12" fillId="0" borderId="1" xfId="0" applyFont="1" applyBorder="1" applyAlignment="1">
      <alignment horizontal="center"/>
    </xf>
    <xf numFmtId="49" fontId="12" fillId="0" borderId="1" xfId="0" applyNumberFormat="1" applyFont="1" applyBorder="1" applyAlignment="1">
      <alignment horizontal="center"/>
    </xf>
    <xf numFmtId="0" fontId="12" fillId="0" borderId="1" xfId="0" quotePrefix="1" applyNumberFormat="1" applyFont="1" applyBorder="1" applyAlignment="1">
      <alignment horizontal="center"/>
    </xf>
    <xf numFmtId="0" fontId="12" fillId="0" borderId="1" xfId="0" applyNumberFormat="1" applyFont="1" applyBorder="1" applyAlignment="1">
      <alignment horizontal="center"/>
    </xf>
    <xf numFmtId="1" fontId="12" fillId="0" borderId="1" xfId="0" applyNumberFormat="1" applyFont="1" applyBorder="1" applyAlignment="1">
      <alignment horizontal="center"/>
    </xf>
    <xf numFmtId="0" fontId="0" fillId="13" borderId="1" xfId="0" applyFill="1" applyBorder="1" applyAlignment="1">
      <alignment horizontal="center"/>
    </xf>
    <xf numFmtId="49" fontId="0" fillId="0" borderId="1" xfId="0" quotePrefix="1" applyNumberFormat="1" applyBorder="1" applyAlignment="1">
      <alignment horizontal="center"/>
    </xf>
    <xf numFmtId="165" fontId="0" fillId="0" borderId="1" xfId="0" applyNumberFormat="1" applyFont="1" applyFill="1" applyBorder="1"/>
    <xf numFmtId="0" fontId="4" fillId="11" borderId="2" xfId="0" applyFont="1" applyFill="1" applyBorder="1" applyAlignment="1">
      <alignment horizontal="center"/>
    </xf>
    <xf numFmtId="0" fontId="4" fillId="3" borderId="2" xfId="0" applyFont="1" applyFill="1" applyBorder="1" applyAlignment="1">
      <alignment horizontal="center"/>
    </xf>
    <xf numFmtId="0" fontId="4" fillId="9" borderId="3" xfId="0" applyFont="1" applyFill="1" applyBorder="1" applyAlignment="1">
      <alignment horizontal="center" wrapText="1"/>
    </xf>
    <xf numFmtId="0" fontId="4" fillId="9" borderId="2" xfId="0" applyFont="1" applyFill="1" applyBorder="1" applyAlignment="1">
      <alignment horizontal="center" wrapText="1"/>
    </xf>
    <xf numFmtId="0" fontId="4" fillId="4" borderId="2" xfId="0" applyFont="1" applyFill="1" applyBorder="1" applyAlignment="1">
      <alignment horizontal="center"/>
    </xf>
    <xf numFmtId="0" fontId="4" fillId="4" borderId="4" xfId="0" applyFont="1" applyFill="1" applyBorder="1" applyAlignment="1">
      <alignment horizontal="center"/>
    </xf>
    <xf numFmtId="0" fontId="4" fillId="2" borderId="2" xfId="0" applyFont="1" applyFill="1" applyBorder="1" applyAlignment="1">
      <alignment horizontal="center"/>
    </xf>
    <xf numFmtId="0" fontId="4" fillId="5" borderId="2" xfId="0" applyFont="1" applyFill="1" applyBorder="1" applyAlignment="1">
      <alignment horizontal="center" wrapText="1"/>
    </xf>
  </cellXfs>
  <cellStyles count="2">
    <cellStyle name="Normal" xfId="0" builtinId="0"/>
    <cellStyle name="Percent" xfId="1" builtinId="5"/>
  </cellStyles>
  <dxfs count="4">
    <dxf>
      <font>
        <color auto="1"/>
      </font>
      <fill>
        <patternFill>
          <bgColor theme="7"/>
        </patternFill>
      </fill>
    </dxf>
    <dxf>
      <font>
        <color auto="1"/>
      </font>
      <fill>
        <patternFill>
          <bgColor theme="7"/>
        </patternFill>
      </fill>
    </dxf>
    <dxf>
      <font>
        <color auto="1"/>
      </font>
      <fill>
        <patternFill>
          <bgColor theme="7"/>
        </patternFill>
      </fill>
    </dxf>
    <dxf>
      <font>
        <color auto="1"/>
      </font>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26"/>
  <sheetViews>
    <sheetView tabSelected="1" zoomScale="90" zoomScaleNormal="90" workbookViewId="0">
      <pane xSplit="4" ySplit="3" topLeftCell="E4" activePane="bottomRight" state="frozen"/>
      <selection pane="topRight" activeCell="E1" sqref="E1"/>
      <selection pane="bottomLeft" activeCell="A4" sqref="A4"/>
      <selection pane="bottomRight" activeCell="AV3" sqref="AV3"/>
    </sheetView>
  </sheetViews>
  <sheetFormatPr defaultRowHeight="14.4" x14ac:dyDescent="0.3"/>
  <cols>
    <col min="1" max="1" width="6.21875" customWidth="1"/>
    <col min="2" max="2" width="16" customWidth="1"/>
    <col min="3" max="3" width="34.21875" customWidth="1"/>
    <col min="4" max="4" width="42.21875" customWidth="1"/>
    <col min="5" max="5" width="8.77734375" customWidth="1"/>
    <col min="6" max="6" width="7.77734375" customWidth="1"/>
    <col min="7" max="9" width="8.77734375" customWidth="1"/>
    <col min="10" max="10" width="8.21875" customWidth="1"/>
    <col min="11" max="11" width="10.5546875" customWidth="1"/>
    <col min="13" max="13" width="5.5546875" customWidth="1"/>
    <col min="14" max="14" width="10.77734375" customWidth="1"/>
    <col min="15" max="15" width="10" customWidth="1"/>
    <col min="16" max="16" width="15.21875" customWidth="1"/>
    <col min="17" max="18" width="9.77734375" customWidth="1"/>
    <col min="19" max="19" width="9.44140625" customWidth="1"/>
    <col min="20" max="20" width="10.77734375" customWidth="1"/>
    <col min="21" max="21" width="8.77734375" customWidth="1"/>
    <col min="22" max="28" width="9.21875" customWidth="1"/>
    <col min="29" max="29" width="9.44140625" customWidth="1"/>
    <col min="30" max="30" width="10.5546875" customWidth="1"/>
    <col min="31" max="34" width="11.5546875" customWidth="1"/>
    <col min="35" max="35" width="13.21875" hidden="1" customWidth="1"/>
    <col min="36" max="36" width="14.21875" hidden="1" customWidth="1"/>
    <col min="37" max="37" width="14.77734375" hidden="1" customWidth="1"/>
    <col min="38" max="38" width="9.21875" hidden="1" customWidth="1"/>
    <col min="39" max="39" width="13.21875" hidden="1" customWidth="1"/>
    <col min="40" max="40" width="9.21875" hidden="1" customWidth="1"/>
    <col min="41" max="41" width="11.77734375" customWidth="1"/>
    <col min="42" max="44" width="13" customWidth="1"/>
    <col min="46" max="46" width="11.77734375" customWidth="1"/>
    <col min="47" max="48" width="10.77734375" style="31" customWidth="1"/>
    <col min="49" max="50" width="10.21875" style="31" customWidth="1"/>
    <col min="55" max="55" width="6.77734375" style="31" customWidth="1"/>
    <col min="56" max="56" width="10.77734375" style="31" customWidth="1"/>
    <col min="59" max="59" width="32.44140625" customWidth="1"/>
    <col min="60" max="60" width="24.5546875" customWidth="1"/>
  </cols>
  <sheetData>
    <row r="1" spans="1:61" x14ac:dyDescent="0.3">
      <c r="A1">
        <v>8</v>
      </c>
      <c r="B1" t="s">
        <v>94</v>
      </c>
      <c r="R1">
        <v>0.01</v>
      </c>
      <c r="T1">
        <v>1931</v>
      </c>
    </row>
    <row r="2" spans="1:61" ht="33" customHeight="1" x14ac:dyDescent="0.3">
      <c r="B2" s="16"/>
      <c r="C2" s="16"/>
      <c r="D2" s="16"/>
      <c r="E2" s="62" t="s">
        <v>17</v>
      </c>
      <c r="F2" s="62"/>
      <c r="G2" s="62"/>
      <c r="H2" s="62"/>
      <c r="I2" s="62"/>
      <c r="J2" s="62"/>
      <c r="K2" s="57" t="s">
        <v>16</v>
      </c>
      <c r="L2" s="57"/>
      <c r="M2" s="57"/>
      <c r="N2" s="60" t="s">
        <v>96</v>
      </c>
      <c r="O2" s="60"/>
      <c r="P2" s="60"/>
      <c r="Q2" s="61"/>
      <c r="R2" s="58" t="s">
        <v>97</v>
      </c>
      <c r="S2" s="59"/>
      <c r="T2" s="59"/>
      <c r="U2" s="63" t="s">
        <v>98</v>
      </c>
      <c r="V2" s="63"/>
      <c r="W2" s="63"/>
      <c r="X2" s="63"/>
      <c r="Y2" s="63"/>
      <c r="Z2" s="63"/>
      <c r="AA2" s="63"/>
      <c r="AB2" s="63"/>
      <c r="AC2" s="63"/>
      <c r="AD2" s="63"/>
      <c r="AE2" s="63"/>
      <c r="AF2" s="56" t="s">
        <v>99</v>
      </c>
      <c r="AG2" s="56"/>
      <c r="AH2" s="56"/>
      <c r="AI2" s="56"/>
      <c r="AJ2" s="56"/>
      <c r="AK2" s="56"/>
      <c r="AL2" s="56"/>
      <c r="AM2" s="56"/>
      <c r="AN2" s="56"/>
      <c r="AO2" s="56"/>
      <c r="AP2" s="56"/>
      <c r="AQ2" s="56"/>
      <c r="AR2" s="56"/>
      <c r="AT2" s="57" t="s">
        <v>106</v>
      </c>
      <c r="AU2" s="57"/>
      <c r="AV2" s="57"/>
      <c r="AW2" s="57"/>
      <c r="AX2" s="57"/>
      <c r="AY2" s="57"/>
      <c r="AZ2" s="57"/>
      <c r="BA2" s="57"/>
      <c r="BB2" s="57"/>
      <c r="BC2" s="57"/>
      <c r="BD2" s="57"/>
      <c r="BE2" s="57"/>
      <c r="BF2" s="57"/>
      <c r="BG2" s="57"/>
      <c r="BH2" s="57"/>
    </row>
    <row r="3" spans="1:61" s="1" customFormat="1" ht="72" x14ac:dyDescent="0.3">
      <c r="A3" s="6" t="s">
        <v>0</v>
      </c>
      <c r="B3" s="6" t="s">
        <v>69</v>
      </c>
      <c r="C3" s="6" t="s">
        <v>95</v>
      </c>
      <c r="D3" s="6" t="s">
        <v>18</v>
      </c>
      <c r="E3" s="6" t="s">
        <v>65</v>
      </c>
      <c r="F3" s="6" t="s">
        <v>66</v>
      </c>
      <c r="G3" s="6" t="s">
        <v>14</v>
      </c>
      <c r="H3" s="6" t="s">
        <v>15</v>
      </c>
      <c r="I3" s="6" t="s">
        <v>67</v>
      </c>
      <c r="J3" s="6" t="s">
        <v>68</v>
      </c>
      <c r="K3" s="2" t="s">
        <v>2</v>
      </c>
      <c r="L3" s="2" t="s">
        <v>3</v>
      </c>
      <c r="M3" s="2" t="s">
        <v>8</v>
      </c>
      <c r="N3" s="5" t="s">
        <v>6</v>
      </c>
      <c r="O3" s="5" t="s">
        <v>82</v>
      </c>
      <c r="P3" s="5" t="s">
        <v>34</v>
      </c>
      <c r="Q3" s="5" t="s">
        <v>13</v>
      </c>
      <c r="R3" s="13" t="s">
        <v>7</v>
      </c>
      <c r="S3" s="13" t="s">
        <v>107</v>
      </c>
      <c r="T3" s="13" t="s">
        <v>12</v>
      </c>
      <c r="U3" s="3" t="s">
        <v>1</v>
      </c>
      <c r="V3" s="3" t="s">
        <v>9</v>
      </c>
      <c r="W3" s="3" t="s">
        <v>4</v>
      </c>
      <c r="X3" s="3" t="s">
        <v>20</v>
      </c>
      <c r="Y3" s="3" t="s">
        <v>21</v>
      </c>
      <c r="Z3" s="3" t="s">
        <v>23</v>
      </c>
      <c r="AA3" s="3" t="s">
        <v>22</v>
      </c>
      <c r="AB3" s="3" t="s">
        <v>33</v>
      </c>
      <c r="AC3" s="3" t="s">
        <v>5</v>
      </c>
      <c r="AD3" s="3" t="s">
        <v>11</v>
      </c>
      <c r="AE3" s="3" t="s">
        <v>10</v>
      </c>
      <c r="AF3" s="20" t="s">
        <v>100</v>
      </c>
      <c r="AG3" s="20" t="s">
        <v>101</v>
      </c>
      <c r="AH3" s="20" t="s">
        <v>102</v>
      </c>
      <c r="AI3" s="20" t="s">
        <v>40</v>
      </c>
      <c r="AJ3" s="20" t="s">
        <v>35</v>
      </c>
      <c r="AK3" s="20" t="s">
        <v>36</v>
      </c>
      <c r="AL3" s="20" t="s">
        <v>37</v>
      </c>
      <c r="AM3" s="20" t="s">
        <v>38</v>
      </c>
      <c r="AN3" s="20" t="s">
        <v>39</v>
      </c>
      <c r="AO3" s="20" t="s">
        <v>103</v>
      </c>
      <c r="AP3" s="20" t="s">
        <v>108</v>
      </c>
      <c r="AQ3" s="20" t="s">
        <v>104</v>
      </c>
      <c r="AR3" s="20" t="s">
        <v>105</v>
      </c>
      <c r="AT3" s="34" t="s">
        <v>80</v>
      </c>
      <c r="AU3" s="2" t="s">
        <v>79</v>
      </c>
      <c r="AV3" s="34" t="s">
        <v>88</v>
      </c>
      <c r="AW3" s="2" t="s">
        <v>41</v>
      </c>
      <c r="AX3" s="2" t="s">
        <v>45</v>
      </c>
      <c r="AY3" s="2" t="s">
        <v>42</v>
      </c>
      <c r="AZ3" s="2" t="s">
        <v>72</v>
      </c>
      <c r="BA3" s="2" t="s">
        <v>60</v>
      </c>
      <c r="BB3" s="34" t="s">
        <v>59</v>
      </c>
      <c r="BC3" s="2" t="s">
        <v>43</v>
      </c>
      <c r="BD3" s="2" t="s">
        <v>58</v>
      </c>
      <c r="BE3" s="2" t="s">
        <v>56</v>
      </c>
      <c r="BF3" s="2" t="s">
        <v>78</v>
      </c>
      <c r="BG3" s="2" t="s">
        <v>18</v>
      </c>
      <c r="BH3" s="2" t="s">
        <v>61</v>
      </c>
    </row>
    <row r="4" spans="1:61" x14ac:dyDescent="0.3">
      <c r="A4" s="11">
        <v>2120</v>
      </c>
      <c r="B4" s="11" t="s">
        <v>19</v>
      </c>
      <c r="C4" s="11" t="s">
        <v>28</v>
      </c>
      <c r="D4" s="17"/>
      <c r="E4" s="39">
        <v>0.3</v>
      </c>
      <c r="F4" s="40">
        <v>1</v>
      </c>
      <c r="G4" s="12">
        <v>7840</v>
      </c>
      <c r="H4" s="12">
        <v>18000</v>
      </c>
      <c r="I4" s="12">
        <f>G4*E4</f>
        <v>2352</v>
      </c>
      <c r="J4" s="12">
        <f>H4*F4*E4</f>
        <v>5400</v>
      </c>
      <c r="K4" s="41">
        <v>0.56000000000000005</v>
      </c>
      <c r="L4" s="42">
        <v>55000</v>
      </c>
      <c r="M4" s="42">
        <v>0.01</v>
      </c>
      <c r="N4" s="9">
        <f t="shared" ref="N4:N23" si="0">((M4*9.81)*(P4*P4*604800*604800)/4)/149597870700</f>
        <v>0.95946061414094708</v>
      </c>
      <c r="O4" s="9">
        <f t="shared" ref="O4:O23" si="1">T4/Q4</f>
        <v>8.1363459402095533</v>
      </c>
      <c r="P4" s="47">
        <v>4</v>
      </c>
      <c r="Q4" s="8">
        <f t="shared" ref="Q4:Q23" si="2">SQRT((N4*149597870700)*(M4*9.81))*2/1000</f>
        <v>237.32352000000003</v>
      </c>
      <c r="R4" s="14">
        <f t="shared" ref="R4:R23" si="3">(J4*1000)/(L4*1000)/9.81</f>
        <v>1.0008340283569641E-2</v>
      </c>
      <c r="S4" s="35">
        <f t="shared" ref="S4" si="4">O4*P4*7</f>
        <v>227.8176863258675</v>
      </c>
      <c r="T4" s="15">
        <f t="shared" ref="T4:T23" si="5">I4*1000*LN(U4)/1000</f>
        <v>1930.946258468241</v>
      </c>
      <c r="U4" s="7">
        <f t="shared" ref="U4:U23" si="6">1/(1-K4)</f>
        <v>2.2727272727272729</v>
      </c>
      <c r="V4" s="4">
        <f t="shared" ref="V4:V23" si="7">L4*K4</f>
        <v>30800.000000000004</v>
      </c>
      <c r="W4" s="4">
        <f t="shared" ref="W4:W23" si="8">L4*(1-K4)</f>
        <v>24199.999999999996</v>
      </c>
      <c r="X4" s="4">
        <f>W4*4</f>
        <v>96799.999999999985</v>
      </c>
      <c r="Y4" s="43">
        <v>0.1</v>
      </c>
      <c r="Z4" s="22">
        <f t="shared" ref="Z4:Z7" si="9">W4*Y4</f>
        <v>2419.9999999999995</v>
      </c>
      <c r="AA4" s="4">
        <f t="shared" ref="AA4:AA7" si="10">W4*(1-Y4)</f>
        <v>21779.999999999996</v>
      </c>
      <c r="AB4" s="4">
        <f>AA4*4</f>
        <v>87119.999999999985</v>
      </c>
      <c r="AC4" s="7">
        <f>POWER(((V4+X4)/((4/3)*PI())),1/3)</f>
        <v>31.231105329486688</v>
      </c>
      <c r="AD4" s="10">
        <f t="shared" ref="AD4:AD23" si="11">(SQRT((AE4*149597870700)/(R4*9.81))*2)/(24*7*3600)</f>
        <v>32.518262607704187</v>
      </c>
      <c r="AE4" s="10">
        <f t="shared" ref="AE4:AE23" si="12">((T4*1000/2)*(T4*1000/2)/(R4*9.81))/149597870700</f>
        <v>63.463482492950988</v>
      </c>
      <c r="AF4" s="19">
        <v>1</v>
      </c>
      <c r="AG4" s="19">
        <v>100</v>
      </c>
      <c r="AH4" s="23">
        <v>0.06</v>
      </c>
      <c r="AI4" s="18">
        <f t="shared" ref="AI4:AI23" si="13">AA4*AH4</f>
        <v>1306.7999999999997</v>
      </c>
      <c r="AJ4" s="18">
        <f t="shared" ref="AJ4:AJ23" si="14">AA4-AI4</f>
        <v>20473.199999999997</v>
      </c>
      <c r="AK4" s="24">
        <f t="shared" ref="AK4:AK23" si="15">0.036666*S4</f>
        <v>8.3531632868242571</v>
      </c>
      <c r="AL4" s="24">
        <f t="shared" ref="AL4:AL23" si="16">AF4/4</f>
        <v>0.25</v>
      </c>
      <c r="AM4" s="24">
        <f t="shared" ref="AM4:AM23" si="17">AG4/1000</f>
        <v>0.1</v>
      </c>
      <c r="AN4" s="24">
        <f>AM4+AL4+AK4</f>
        <v>8.7031632868242568</v>
      </c>
      <c r="AO4" s="25">
        <f>AJ4/AN4</f>
        <v>2352.3860607090332</v>
      </c>
      <c r="AP4" s="26">
        <f t="shared" ref="AP4:AP23" si="18">AF4*AO4</f>
        <v>2352.3860607090332</v>
      </c>
      <c r="AQ4" s="55">
        <v>2.2000000000000002</v>
      </c>
      <c r="AR4" s="26">
        <f>AP4/AQ4</f>
        <v>1069.2663912313787</v>
      </c>
      <c r="AT4" s="27">
        <f t="shared" ref="AT4:AT23" si="19">R4</f>
        <v>1.0008340283569641E-2</v>
      </c>
      <c r="AU4" s="32">
        <v>4</v>
      </c>
      <c r="AV4" s="53">
        <f>L4*Y4</f>
        <v>5500</v>
      </c>
      <c r="AW4" s="32">
        <v>24</v>
      </c>
      <c r="AX4" s="30" t="s">
        <v>49</v>
      </c>
      <c r="AY4" s="30" t="s">
        <v>48</v>
      </c>
      <c r="AZ4" s="36">
        <v>-2</v>
      </c>
      <c r="BA4" s="36">
        <v>1</v>
      </c>
      <c r="BB4" s="28">
        <f t="shared" ref="BB4:BB23" si="20">AO4</f>
        <v>2352.3860607090332</v>
      </c>
      <c r="BC4" s="37">
        <f>BB4-BD4</f>
        <v>65.386060709033245</v>
      </c>
      <c r="BD4" s="32">
        <v>2287</v>
      </c>
      <c r="BE4" s="46">
        <f t="shared" ref="BE4:BE23" si="21">INT(O4)</f>
        <v>8</v>
      </c>
      <c r="BF4" s="46">
        <f t="shared" ref="BF4:BF23" si="22">P4</f>
        <v>4</v>
      </c>
      <c r="BG4" s="29" t="s">
        <v>51</v>
      </c>
      <c r="BH4" s="29" t="s">
        <v>62</v>
      </c>
      <c r="BI4" s="33"/>
    </row>
    <row r="5" spans="1:61" x14ac:dyDescent="0.3">
      <c r="A5" s="11">
        <v>2125</v>
      </c>
      <c r="B5" s="11" t="s">
        <v>19</v>
      </c>
      <c r="C5" s="11" t="s">
        <v>29</v>
      </c>
      <c r="D5" s="17"/>
      <c r="E5" s="39">
        <v>0.5</v>
      </c>
      <c r="F5" s="40">
        <v>1</v>
      </c>
      <c r="G5" s="12">
        <v>7840</v>
      </c>
      <c r="H5" s="12">
        <v>18000</v>
      </c>
      <c r="I5" s="12">
        <f t="shared" ref="I5:I23" si="23">G5*E5</f>
        <v>3920</v>
      </c>
      <c r="J5" s="12">
        <f t="shared" ref="J5:J23" si="24">H5*F5*E5</f>
        <v>9000</v>
      </c>
      <c r="K5" s="41">
        <v>0.39</v>
      </c>
      <c r="L5" s="42">
        <v>91500</v>
      </c>
      <c r="M5" s="42">
        <v>0.01</v>
      </c>
      <c r="N5" s="9">
        <f t="shared" si="0"/>
        <v>0.95946061414094708</v>
      </c>
      <c r="O5" s="9">
        <f t="shared" si="1"/>
        <v>8.1645577375303464</v>
      </c>
      <c r="P5" s="47">
        <v>4</v>
      </c>
      <c r="Q5" s="8">
        <f t="shared" si="2"/>
        <v>237.32352000000003</v>
      </c>
      <c r="R5" s="14">
        <f t="shared" si="3"/>
        <v>1.0026570411590715E-2</v>
      </c>
      <c r="S5" s="35">
        <f t="shared" ref="S5:S23" si="25">O5*P5*7</f>
        <v>228.60761665084971</v>
      </c>
      <c r="T5" s="15">
        <f t="shared" si="5"/>
        <v>1937.6415815139383</v>
      </c>
      <c r="U5" s="7">
        <f t="shared" si="6"/>
        <v>1.639344262295082</v>
      </c>
      <c r="V5" s="4">
        <f t="shared" si="7"/>
        <v>35685</v>
      </c>
      <c r="W5" s="4">
        <f t="shared" si="8"/>
        <v>55815</v>
      </c>
      <c r="X5" s="4">
        <f t="shared" ref="X5:X23" si="26">W5*4</f>
        <v>223260</v>
      </c>
      <c r="Y5" s="43">
        <v>0.1</v>
      </c>
      <c r="Z5" s="22">
        <f t="shared" si="9"/>
        <v>5581.5</v>
      </c>
      <c r="AA5" s="4">
        <f t="shared" si="10"/>
        <v>50233.5</v>
      </c>
      <c r="AB5" s="4">
        <f t="shared" ref="AB5:AB23" si="27">AA5*4</f>
        <v>200934</v>
      </c>
      <c r="AC5" s="7">
        <f t="shared" ref="AC5:AC23" si="28">POWER(((V5+X5)/((4/3)*PI())),1/3)</f>
        <v>39.540270868250168</v>
      </c>
      <c r="AD5" s="10">
        <f t="shared" si="11"/>
        <v>32.571686638103571</v>
      </c>
      <c r="AE5" s="10">
        <f t="shared" si="12"/>
        <v>63.788159698697839</v>
      </c>
      <c r="AF5" s="19">
        <v>1</v>
      </c>
      <c r="AG5" s="19">
        <v>100</v>
      </c>
      <c r="AH5" s="23">
        <v>0.06</v>
      </c>
      <c r="AI5" s="18">
        <f t="shared" si="13"/>
        <v>3014.0099999999998</v>
      </c>
      <c r="AJ5" s="18">
        <f t="shared" si="14"/>
        <v>47219.49</v>
      </c>
      <c r="AK5" s="24">
        <f t="shared" si="15"/>
        <v>8.3821268721200539</v>
      </c>
      <c r="AL5" s="24">
        <f t="shared" si="16"/>
        <v>0.25</v>
      </c>
      <c r="AM5" s="24">
        <f t="shared" si="17"/>
        <v>0.1</v>
      </c>
      <c r="AN5" s="24">
        <f t="shared" ref="AN5:AN7" si="29">AM5+AL5+AK5</f>
        <v>8.7321268721200536</v>
      </c>
      <c r="AO5" s="25">
        <f t="shared" ref="AO5:AO7" si="30">AJ5/AN5</f>
        <v>5407.5588561089799</v>
      </c>
      <c r="AP5" s="26">
        <f t="shared" si="18"/>
        <v>5407.5588561089799</v>
      </c>
      <c r="AQ5" s="55">
        <v>2.2000000000000002</v>
      </c>
      <c r="AR5" s="26">
        <f t="shared" ref="AR5:AR23" si="31">AP5/AQ5</f>
        <v>2457.9812982313542</v>
      </c>
      <c r="AT5" s="27">
        <f t="shared" si="19"/>
        <v>1.0026570411590715E-2</v>
      </c>
      <c r="AU5" s="32">
        <v>4</v>
      </c>
      <c r="AV5" s="53">
        <f t="shared" ref="AV5:AV23" si="32">L5*Y5</f>
        <v>9150</v>
      </c>
      <c r="AW5" s="32">
        <v>24</v>
      </c>
      <c r="AX5" s="30" t="s">
        <v>49</v>
      </c>
      <c r="AY5" s="30" t="s">
        <v>48</v>
      </c>
      <c r="AZ5" s="36">
        <v>-2</v>
      </c>
      <c r="BA5" s="36">
        <v>1</v>
      </c>
      <c r="BB5" s="28">
        <f t="shared" si="20"/>
        <v>5407.5588561089799</v>
      </c>
      <c r="BC5" s="37">
        <f t="shared" ref="BC5:BC9" si="33">BB5-BD5</f>
        <v>131.55885610897985</v>
      </c>
      <c r="BD5" s="32">
        <v>5276</v>
      </c>
      <c r="BE5" s="46">
        <f t="shared" si="21"/>
        <v>8</v>
      </c>
      <c r="BF5" s="46">
        <f t="shared" si="22"/>
        <v>4</v>
      </c>
      <c r="BG5" s="29" t="s">
        <v>51</v>
      </c>
      <c r="BH5" s="29" t="s">
        <v>62</v>
      </c>
      <c r="BI5" s="33"/>
    </row>
    <row r="6" spans="1:61" x14ac:dyDescent="0.3">
      <c r="A6" s="11">
        <v>2140</v>
      </c>
      <c r="B6" s="11" t="s">
        <v>19</v>
      </c>
      <c r="C6" s="11" t="s">
        <v>30</v>
      </c>
      <c r="D6" s="17"/>
      <c r="E6" s="39">
        <v>0.7</v>
      </c>
      <c r="F6" s="40">
        <v>1</v>
      </c>
      <c r="G6" s="12">
        <v>7840</v>
      </c>
      <c r="H6" s="12">
        <v>18000</v>
      </c>
      <c r="I6" s="12">
        <f t="shared" si="23"/>
        <v>5488</v>
      </c>
      <c r="J6" s="12">
        <f t="shared" si="24"/>
        <v>12600</v>
      </c>
      <c r="K6" s="41">
        <v>0.3</v>
      </c>
      <c r="L6" s="42">
        <v>128000</v>
      </c>
      <c r="M6" s="42">
        <v>0.01</v>
      </c>
      <c r="N6" s="9">
        <f t="shared" si="0"/>
        <v>0.95946061414094708</v>
      </c>
      <c r="O6" s="9">
        <f t="shared" si="1"/>
        <v>8.2479481693839833</v>
      </c>
      <c r="P6" s="47">
        <v>4</v>
      </c>
      <c r="Q6" s="8">
        <f t="shared" si="2"/>
        <v>237.32352000000003</v>
      </c>
      <c r="R6" s="14">
        <f t="shared" si="3"/>
        <v>1.0034403669724769E-2</v>
      </c>
      <c r="S6" s="35">
        <f t="shared" si="25"/>
        <v>230.94254874275154</v>
      </c>
      <c r="T6" s="15">
        <f t="shared" si="5"/>
        <v>1957.4320923357634</v>
      </c>
      <c r="U6" s="7">
        <f t="shared" si="6"/>
        <v>1.4285714285714286</v>
      </c>
      <c r="V6" s="4">
        <f t="shared" si="7"/>
        <v>38400</v>
      </c>
      <c r="W6" s="4">
        <f t="shared" si="8"/>
        <v>89600</v>
      </c>
      <c r="X6" s="4">
        <f t="shared" si="26"/>
        <v>358400</v>
      </c>
      <c r="Y6" s="43">
        <v>0.1</v>
      </c>
      <c r="Z6" s="22">
        <f t="shared" si="9"/>
        <v>8960</v>
      </c>
      <c r="AA6" s="4">
        <f t="shared" si="10"/>
        <v>80640</v>
      </c>
      <c r="AB6" s="4">
        <f t="shared" si="27"/>
        <v>322560</v>
      </c>
      <c r="AC6" s="7">
        <f t="shared" si="28"/>
        <v>45.585600981119001</v>
      </c>
      <c r="AD6" s="10">
        <f t="shared" si="11"/>
        <v>32.87867795978439</v>
      </c>
      <c r="AE6" s="10">
        <f t="shared" si="12"/>
        <v>65.047023721298459</v>
      </c>
      <c r="AF6" s="19">
        <v>1</v>
      </c>
      <c r="AG6" s="19">
        <v>100</v>
      </c>
      <c r="AH6" s="23">
        <v>0.06</v>
      </c>
      <c r="AI6" s="18">
        <f t="shared" si="13"/>
        <v>4838.3999999999996</v>
      </c>
      <c r="AJ6" s="18">
        <f t="shared" si="14"/>
        <v>75801.600000000006</v>
      </c>
      <c r="AK6" s="24">
        <f t="shared" si="15"/>
        <v>8.4677394922017282</v>
      </c>
      <c r="AL6" s="24">
        <f t="shared" si="16"/>
        <v>0.25</v>
      </c>
      <c r="AM6" s="24">
        <f t="shared" si="17"/>
        <v>0.1</v>
      </c>
      <c r="AN6" s="24">
        <f t="shared" si="29"/>
        <v>8.8177394922017278</v>
      </c>
      <c r="AO6" s="25">
        <f t="shared" si="30"/>
        <v>8596.4889376736264</v>
      </c>
      <c r="AP6" s="26">
        <f t="shared" si="18"/>
        <v>8596.4889376736264</v>
      </c>
      <c r="AQ6" s="55">
        <v>2.2000000000000002</v>
      </c>
      <c r="AR6" s="26">
        <f t="shared" si="31"/>
        <v>3907.4949716698297</v>
      </c>
      <c r="AT6" s="27">
        <f t="shared" si="19"/>
        <v>1.0034403669724769E-2</v>
      </c>
      <c r="AU6" s="32">
        <v>4</v>
      </c>
      <c r="AV6" s="53">
        <f t="shared" si="32"/>
        <v>12800</v>
      </c>
      <c r="AW6" s="32">
        <v>26</v>
      </c>
      <c r="AX6" s="30" t="s">
        <v>46</v>
      </c>
      <c r="AY6" s="30" t="s">
        <v>47</v>
      </c>
      <c r="AZ6" s="36">
        <v>-1</v>
      </c>
      <c r="BA6" s="36">
        <v>1</v>
      </c>
      <c r="BB6" s="28">
        <f t="shared" si="20"/>
        <v>8596.4889376736264</v>
      </c>
      <c r="BC6" s="37">
        <f t="shared" si="33"/>
        <v>126.48893767362642</v>
      </c>
      <c r="BD6" s="32">
        <v>8470</v>
      </c>
      <c r="BE6" s="46">
        <f t="shared" si="21"/>
        <v>8</v>
      </c>
      <c r="BF6" s="46">
        <f t="shared" si="22"/>
        <v>4</v>
      </c>
      <c r="BG6" s="29" t="s">
        <v>50</v>
      </c>
      <c r="BH6" s="29" t="s">
        <v>62</v>
      </c>
      <c r="BI6" s="33"/>
    </row>
    <row r="7" spans="1:61" x14ac:dyDescent="0.3">
      <c r="A7" s="11">
        <v>2145</v>
      </c>
      <c r="B7" s="11" t="s">
        <v>19</v>
      </c>
      <c r="C7" s="11" t="s">
        <v>31</v>
      </c>
      <c r="D7" s="17"/>
      <c r="E7" s="39">
        <v>1</v>
      </c>
      <c r="F7" s="40">
        <v>1</v>
      </c>
      <c r="G7" s="12">
        <v>7840</v>
      </c>
      <c r="H7" s="12">
        <v>18000</v>
      </c>
      <c r="I7" s="12">
        <f t="shared" si="23"/>
        <v>7840</v>
      </c>
      <c r="J7" s="12">
        <f t="shared" si="24"/>
        <v>18000</v>
      </c>
      <c r="K7" s="41">
        <v>0.22</v>
      </c>
      <c r="L7" s="42">
        <v>180000</v>
      </c>
      <c r="M7" s="42">
        <v>0.01</v>
      </c>
      <c r="N7" s="9">
        <f t="shared" si="0"/>
        <v>0.95946061414094708</v>
      </c>
      <c r="O7" s="9">
        <f t="shared" si="1"/>
        <v>8.2079393433075509</v>
      </c>
      <c r="P7" s="47">
        <v>4</v>
      </c>
      <c r="Q7" s="8">
        <f t="shared" si="2"/>
        <v>237.32352000000003</v>
      </c>
      <c r="R7" s="14">
        <f t="shared" si="3"/>
        <v>1.0193679918450561E-2</v>
      </c>
      <c r="S7" s="35">
        <f t="shared" si="25"/>
        <v>229.82230161261143</v>
      </c>
      <c r="T7" s="15">
        <f t="shared" si="5"/>
        <v>1947.9370569002365</v>
      </c>
      <c r="U7" s="7">
        <f t="shared" si="6"/>
        <v>1.2820512820512819</v>
      </c>
      <c r="V7" s="4">
        <f t="shared" si="7"/>
        <v>39600</v>
      </c>
      <c r="W7" s="4">
        <f t="shared" si="8"/>
        <v>140400</v>
      </c>
      <c r="X7" s="4">
        <f t="shared" si="26"/>
        <v>561600</v>
      </c>
      <c r="Y7" s="43">
        <v>0.1</v>
      </c>
      <c r="Z7" s="22">
        <f t="shared" si="9"/>
        <v>14040</v>
      </c>
      <c r="AA7" s="4">
        <f t="shared" si="10"/>
        <v>126360</v>
      </c>
      <c r="AB7" s="4">
        <f t="shared" si="27"/>
        <v>505440</v>
      </c>
      <c r="AC7" s="7">
        <f t="shared" si="28"/>
        <v>52.357245158660007</v>
      </c>
      <c r="AD7" s="10">
        <f t="shared" si="11"/>
        <v>32.207953983138829</v>
      </c>
      <c r="AE7" s="10">
        <f t="shared" si="12"/>
        <v>63.410975702563171</v>
      </c>
      <c r="AF7" s="19">
        <v>1</v>
      </c>
      <c r="AG7" s="19">
        <v>100</v>
      </c>
      <c r="AH7" s="23">
        <v>0.06</v>
      </c>
      <c r="AI7" s="18">
        <f t="shared" si="13"/>
        <v>7581.5999999999995</v>
      </c>
      <c r="AJ7" s="18">
        <f t="shared" si="14"/>
        <v>118778.4</v>
      </c>
      <c r="AK7" s="24">
        <f t="shared" si="15"/>
        <v>8.4266645109280098</v>
      </c>
      <c r="AL7" s="24">
        <f t="shared" si="16"/>
        <v>0.25</v>
      </c>
      <c r="AM7" s="24">
        <f t="shared" si="17"/>
        <v>0.1</v>
      </c>
      <c r="AN7" s="24">
        <f t="shared" si="29"/>
        <v>8.7766645109280095</v>
      </c>
      <c r="AO7" s="25">
        <f t="shared" si="30"/>
        <v>13533.432872147103</v>
      </c>
      <c r="AP7" s="26">
        <f t="shared" si="18"/>
        <v>13533.432872147103</v>
      </c>
      <c r="AQ7" s="55">
        <v>2.2000000000000002</v>
      </c>
      <c r="AR7" s="26">
        <f t="shared" si="31"/>
        <v>6151.560396430501</v>
      </c>
      <c r="AT7" s="27">
        <f t="shared" si="19"/>
        <v>1.0193679918450561E-2</v>
      </c>
      <c r="AU7" s="32">
        <v>4</v>
      </c>
      <c r="AV7" s="53">
        <f t="shared" si="32"/>
        <v>18000</v>
      </c>
      <c r="AW7" s="32">
        <v>26</v>
      </c>
      <c r="AX7" s="30" t="s">
        <v>46</v>
      </c>
      <c r="AY7" s="30" t="s">
        <v>47</v>
      </c>
      <c r="AZ7" s="36">
        <v>-1</v>
      </c>
      <c r="BA7" s="36">
        <v>1</v>
      </c>
      <c r="BB7" s="28">
        <f t="shared" si="20"/>
        <v>13533.432872147103</v>
      </c>
      <c r="BC7" s="37">
        <f t="shared" si="33"/>
        <v>261.4328721471029</v>
      </c>
      <c r="BD7" s="32">
        <v>13272</v>
      </c>
      <c r="BE7" s="46">
        <f t="shared" si="21"/>
        <v>8</v>
      </c>
      <c r="BF7" s="46">
        <f t="shared" si="22"/>
        <v>4</v>
      </c>
      <c r="BG7" s="29" t="s">
        <v>50</v>
      </c>
      <c r="BH7" s="29"/>
      <c r="BI7" s="33"/>
    </row>
    <row r="8" spans="1:61" x14ac:dyDescent="0.3">
      <c r="A8" s="11">
        <v>2217</v>
      </c>
      <c r="B8" s="11" t="s">
        <v>32</v>
      </c>
      <c r="C8" s="11" t="s">
        <v>57</v>
      </c>
      <c r="D8" s="17"/>
      <c r="E8" s="39">
        <v>0.8</v>
      </c>
      <c r="F8" s="40">
        <v>4</v>
      </c>
      <c r="G8" s="12">
        <v>15680</v>
      </c>
      <c r="H8" s="12">
        <v>36000</v>
      </c>
      <c r="I8" s="12">
        <f t="shared" si="23"/>
        <v>12544</v>
      </c>
      <c r="J8" s="12">
        <f t="shared" si="24"/>
        <v>115200</v>
      </c>
      <c r="K8" s="41">
        <v>0.3</v>
      </c>
      <c r="L8" s="42">
        <v>40000</v>
      </c>
      <c r="M8" s="42">
        <v>0.04</v>
      </c>
      <c r="N8" s="9">
        <f t="shared" si="0"/>
        <v>0.95946061414094708</v>
      </c>
      <c r="O8" s="9">
        <f t="shared" si="1"/>
        <v>9.4262264792959822</v>
      </c>
      <c r="P8" s="47">
        <v>2</v>
      </c>
      <c r="Q8" s="8">
        <f t="shared" si="2"/>
        <v>474.64704000000006</v>
      </c>
      <c r="R8" s="14">
        <f t="shared" si="3"/>
        <v>0.29357798165137611</v>
      </c>
      <c r="S8" s="35">
        <f t="shared" si="25"/>
        <v>131.96717071014376</v>
      </c>
      <c r="T8" s="15">
        <f t="shared" si="5"/>
        <v>4474.1304967674596</v>
      </c>
      <c r="U8" s="7">
        <f t="shared" si="6"/>
        <v>1.4285714285714286</v>
      </c>
      <c r="V8" s="4">
        <f t="shared" si="7"/>
        <v>12000</v>
      </c>
      <c r="W8" s="4">
        <f t="shared" si="8"/>
        <v>28000</v>
      </c>
      <c r="X8" s="4">
        <f t="shared" si="26"/>
        <v>112000</v>
      </c>
      <c r="Y8" s="43">
        <v>0.25</v>
      </c>
      <c r="Z8" s="22">
        <f t="shared" ref="Z8:Z13" si="34">W8*Y8</f>
        <v>7000</v>
      </c>
      <c r="AA8" s="4">
        <f t="shared" ref="AA8:AA13" si="35">W8*(1-Y8)</f>
        <v>21000</v>
      </c>
      <c r="AB8" s="4">
        <f t="shared" si="27"/>
        <v>84000</v>
      </c>
      <c r="AC8" s="7">
        <f t="shared" si="28"/>
        <v>30.934589591553856</v>
      </c>
      <c r="AD8" s="10">
        <f t="shared" si="11"/>
        <v>2.5686467156081552</v>
      </c>
      <c r="AE8" s="10">
        <f t="shared" si="12"/>
        <v>11.61553995023187</v>
      </c>
      <c r="AF8" s="19">
        <v>1</v>
      </c>
      <c r="AG8" s="19">
        <v>100</v>
      </c>
      <c r="AH8" s="23">
        <v>0.06</v>
      </c>
      <c r="AI8" s="18">
        <f t="shared" si="13"/>
        <v>1260</v>
      </c>
      <c r="AJ8" s="18">
        <f t="shared" si="14"/>
        <v>19740</v>
      </c>
      <c r="AK8" s="24">
        <f t="shared" si="15"/>
        <v>4.838708281258131</v>
      </c>
      <c r="AL8" s="24">
        <f t="shared" si="16"/>
        <v>0.25</v>
      </c>
      <c r="AM8" s="24">
        <f t="shared" si="17"/>
        <v>0.1</v>
      </c>
      <c r="AN8" s="24">
        <f t="shared" ref="AN8:AN23" si="36">AM8+AL8+AK8</f>
        <v>5.1887082812581307</v>
      </c>
      <c r="AO8" s="25">
        <f t="shared" ref="AO8:AO23" si="37">AJ8/AN8</f>
        <v>3804.4150740371838</v>
      </c>
      <c r="AP8" s="26">
        <f t="shared" si="18"/>
        <v>3804.4150740371838</v>
      </c>
      <c r="AQ8" s="55">
        <v>2.2000000000000002</v>
      </c>
      <c r="AR8" s="26">
        <f t="shared" si="31"/>
        <v>1729.2795791078106</v>
      </c>
      <c r="AT8" s="27">
        <f t="shared" si="19"/>
        <v>0.29357798165137611</v>
      </c>
      <c r="AU8" s="48">
        <v>4</v>
      </c>
      <c r="AV8" s="53">
        <f t="shared" si="32"/>
        <v>10000</v>
      </c>
      <c r="AW8" s="48">
        <v>20</v>
      </c>
      <c r="AX8" s="49" t="s">
        <v>46</v>
      </c>
      <c r="AY8" s="49" t="s">
        <v>48</v>
      </c>
      <c r="AZ8" s="51">
        <v>-1</v>
      </c>
      <c r="BA8" s="51">
        <v>3</v>
      </c>
      <c r="BB8" s="28">
        <f t="shared" si="20"/>
        <v>3804.4150740371838</v>
      </c>
      <c r="BC8" s="52">
        <v>100</v>
      </c>
      <c r="BD8" s="52">
        <f>BB8-BC8</f>
        <v>3704.4150740371838</v>
      </c>
      <c r="BE8" s="46">
        <f t="shared" si="21"/>
        <v>9</v>
      </c>
      <c r="BF8" s="46">
        <f t="shared" si="22"/>
        <v>2</v>
      </c>
      <c r="BG8" s="29" t="s">
        <v>50</v>
      </c>
      <c r="BH8" s="29" t="s">
        <v>81</v>
      </c>
    </row>
    <row r="9" spans="1:61" x14ac:dyDescent="0.3">
      <c r="A9" s="11">
        <v>2217</v>
      </c>
      <c r="B9" s="11" t="s">
        <v>32</v>
      </c>
      <c r="C9" s="11" t="s">
        <v>74</v>
      </c>
      <c r="D9" s="17"/>
      <c r="E9" s="39">
        <v>0.65</v>
      </c>
      <c r="F9" s="40">
        <v>1</v>
      </c>
      <c r="G9" s="12">
        <v>15680</v>
      </c>
      <c r="H9" s="12">
        <v>36000</v>
      </c>
      <c r="I9" s="12">
        <f t="shared" si="23"/>
        <v>10192</v>
      </c>
      <c r="J9" s="12">
        <f t="shared" si="24"/>
        <v>23400</v>
      </c>
      <c r="K9" s="41">
        <v>0.55000000000000004</v>
      </c>
      <c r="L9" s="42">
        <v>460</v>
      </c>
      <c r="M9" s="42">
        <v>0.17</v>
      </c>
      <c r="N9" s="9">
        <f t="shared" si="0"/>
        <v>1.0194269025247564</v>
      </c>
      <c r="O9" s="9">
        <f t="shared" si="1"/>
        <v>8.0687973851564472</v>
      </c>
      <c r="P9" s="47">
        <v>1</v>
      </c>
      <c r="Q9" s="8">
        <f t="shared" si="2"/>
        <v>1008.6249600000002</v>
      </c>
      <c r="R9" s="14">
        <f t="shared" si="3"/>
        <v>5.1854806541683285</v>
      </c>
      <c r="S9" s="35">
        <f t="shared" si="25"/>
        <v>56.481581696095134</v>
      </c>
      <c r="T9" s="15">
        <f t="shared" si="5"/>
        <v>8138.3904398515278</v>
      </c>
      <c r="U9" s="7">
        <f t="shared" si="6"/>
        <v>2.2222222222222223</v>
      </c>
      <c r="V9" s="4">
        <f t="shared" si="7"/>
        <v>253.00000000000003</v>
      </c>
      <c r="W9" s="4">
        <f t="shared" si="8"/>
        <v>206.99999999999997</v>
      </c>
      <c r="X9" s="4">
        <f t="shared" si="26"/>
        <v>827.99999999999989</v>
      </c>
      <c r="Y9" s="43">
        <v>0.2</v>
      </c>
      <c r="Z9" s="22">
        <f t="shared" si="34"/>
        <v>41.4</v>
      </c>
      <c r="AA9" s="4">
        <f t="shared" si="35"/>
        <v>165.6</v>
      </c>
      <c r="AB9" s="4">
        <f t="shared" si="27"/>
        <v>662.4</v>
      </c>
      <c r="AC9" s="7">
        <f t="shared" si="28"/>
        <v>6.3666703172817058</v>
      </c>
      <c r="AD9" s="10">
        <f t="shared" si="11"/>
        <v>0.26452621212152516</v>
      </c>
      <c r="AE9" s="10">
        <f t="shared" si="12"/>
        <v>2.1758733527747838</v>
      </c>
      <c r="AF9" s="19">
        <v>90</v>
      </c>
      <c r="AG9" s="19">
        <v>250</v>
      </c>
      <c r="AH9" s="23">
        <v>0.1</v>
      </c>
      <c r="AI9" s="18">
        <f t="shared" si="13"/>
        <v>16.559999999999999</v>
      </c>
      <c r="AJ9" s="18">
        <f t="shared" si="14"/>
        <v>149.04</v>
      </c>
      <c r="AK9" s="24">
        <f t="shared" si="15"/>
        <v>2.070953674469024</v>
      </c>
      <c r="AL9" s="24">
        <f t="shared" si="16"/>
        <v>22.5</v>
      </c>
      <c r="AM9" s="24">
        <f t="shared" si="17"/>
        <v>0.25</v>
      </c>
      <c r="AN9" s="24">
        <f t="shared" si="36"/>
        <v>24.820953674469024</v>
      </c>
      <c r="AO9" s="25">
        <f t="shared" si="37"/>
        <v>6.0046040919573285</v>
      </c>
      <c r="AP9" s="26">
        <f t="shared" si="18"/>
        <v>540.41436827615951</v>
      </c>
      <c r="AQ9" s="55">
        <v>2.7</v>
      </c>
      <c r="AR9" s="26">
        <f t="shared" si="31"/>
        <v>200.15346973191092</v>
      </c>
      <c r="AT9" s="27">
        <f t="shared" si="19"/>
        <v>5.1854806541683285</v>
      </c>
      <c r="AU9" s="44">
        <v>10</v>
      </c>
      <c r="AV9" s="53">
        <f t="shared" si="32"/>
        <v>92</v>
      </c>
      <c r="AW9" s="48">
        <v>19</v>
      </c>
      <c r="AX9" s="49" t="s">
        <v>46</v>
      </c>
      <c r="AY9" s="45" t="s">
        <v>44</v>
      </c>
      <c r="AZ9" s="50" t="s">
        <v>44</v>
      </c>
      <c r="BA9" s="51">
        <v>3</v>
      </c>
      <c r="BB9" s="28">
        <f t="shared" si="20"/>
        <v>6.0046040919573285</v>
      </c>
      <c r="BC9" s="52">
        <f t="shared" si="33"/>
        <v>1.0046040919573285</v>
      </c>
      <c r="BD9" s="48">
        <v>5</v>
      </c>
      <c r="BE9" s="46">
        <f t="shared" si="21"/>
        <v>8</v>
      </c>
      <c r="BF9" s="46">
        <f t="shared" si="22"/>
        <v>1</v>
      </c>
      <c r="BG9" s="29"/>
      <c r="BH9" s="29"/>
    </row>
    <row r="10" spans="1:61" x14ac:dyDescent="0.3">
      <c r="A10" s="11">
        <v>2217</v>
      </c>
      <c r="B10" s="11" t="s">
        <v>32</v>
      </c>
      <c r="C10" s="11" t="s">
        <v>73</v>
      </c>
      <c r="D10" s="17"/>
      <c r="E10" s="39">
        <v>0.65</v>
      </c>
      <c r="F10" s="40">
        <v>1</v>
      </c>
      <c r="G10" s="12">
        <v>15680</v>
      </c>
      <c r="H10" s="12">
        <v>36000</v>
      </c>
      <c r="I10" s="12">
        <f t="shared" si="23"/>
        <v>10192</v>
      </c>
      <c r="J10" s="12">
        <f t="shared" si="24"/>
        <v>23400</v>
      </c>
      <c r="K10" s="41">
        <v>0.68</v>
      </c>
      <c r="L10" s="42">
        <v>1000</v>
      </c>
      <c r="M10" s="42">
        <v>0.16</v>
      </c>
      <c r="N10" s="9">
        <f t="shared" si="0"/>
        <v>0.95946061414094708</v>
      </c>
      <c r="O10" s="9">
        <f t="shared" si="1"/>
        <v>12.233421085124448</v>
      </c>
      <c r="P10" s="47">
        <v>1</v>
      </c>
      <c r="Q10" s="8">
        <f t="shared" si="2"/>
        <v>949.29408000000012</v>
      </c>
      <c r="R10" s="14">
        <f t="shared" si="3"/>
        <v>2.3853211009174311</v>
      </c>
      <c r="S10" s="35">
        <f t="shared" si="25"/>
        <v>85.633947595871135</v>
      </c>
      <c r="T10" s="15">
        <f t="shared" si="5"/>
        <v>11613.114214255816</v>
      </c>
      <c r="U10" s="7">
        <f t="shared" si="6"/>
        <v>3.1250000000000004</v>
      </c>
      <c r="V10" s="4">
        <f t="shared" si="7"/>
        <v>680</v>
      </c>
      <c r="W10" s="4">
        <f t="shared" si="8"/>
        <v>319.99999999999994</v>
      </c>
      <c r="X10" s="4">
        <f t="shared" si="26"/>
        <v>1279.9999999999998</v>
      </c>
      <c r="Y10" s="43">
        <v>0.2</v>
      </c>
      <c r="Z10" s="22">
        <f t="shared" si="34"/>
        <v>63.999999999999993</v>
      </c>
      <c r="AA10" s="4">
        <f t="shared" si="35"/>
        <v>255.99999999999997</v>
      </c>
      <c r="AB10" s="4">
        <f t="shared" si="27"/>
        <v>1023.9999999999999</v>
      </c>
      <c r="AC10" s="7">
        <f t="shared" si="28"/>
        <v>7.7634689553941065</v>
      </c>
      <c r="AD10" s="10">
        <f t="shared" si="11"/>
        <v>0.82058024509450167</v>
      </c>
      <c r="AE10" s="10">
        <f t="shared" si="12"/>
        <v>9.6315488985537083</v>
      </c>
      <c r="AF10" s="19">
        <v>70</v>
      </c>
      <c r="AG10" s="19">
        <v>250</v>
      </c>
      <c r="AH10" s="23">
        <v>0.1</v>
      </c>
      <c r="AI10" s="18">
        <f t="shared" si="13"/>
        <v>25.599999999999998</v>
      </c>
      <c r="AJ10" s="18">
        <f t="shared" si="14"/>
        <v>230.39999999999998</v>
      </c>
      <c r="AK10" s="24">
        <f t="shared" si="15"/>
        <v>3.1398543225502107</v>
      </c>
      <c r="AL10" s="24">
        <f t="shared" si="16"/>
        <v>17.5</v>
      </c>
      <c r="AM10" s="24">
        <f t="shared" si="17"/>
        <v>0.25</v>
      </c>
      <c r="AN10" s="24">
        <f t="shared" si="36"/>
        <v>20.88985432255021</v>
      </c>
      <c r="AO10" s="25">
        <f t="shared" si="37"/>
        <v>11.029277487650425</v>
      </c>
      <c r="AP10" s="26">
        <f t="shared" si="18"/>
        <v>772.04942413552976</v>
      </c>
      <c r="AQ10" s="55">
        <v>2.5</v>
      </c>
      <c r="AR10" s="26">
        <f t="shared" si="31"/>
        <v>308.81976965421188</v>
      </c>
      <c r="AT10" s="27">
        <f t="shared" si="19"/>
        <v>2.3853211009174311</v>
      </c>
      <c r="AU10" s="48">
        <v>6</v>
      </c>
      <c r="AV10" s="53">
        <f t="shared" si="32"/>
        <v>200</v>
      </c>
      <c r="AW10" s="48">
        <v>14</v>
      </c>
      <c r="AX10" s="49" t="s">
        <v>49</v>
      </c>
      <c r="AY10" s="49" t="s">
        <v>64</v>
      </c>
      <c r="AZ10" s="51">
        <v>0</v>
      </c>
      <c r="BA10" s="51">
        <v>2</v>
      </c>
      <c r="BB10" s="28">
        <f t="shared" si="20"/>
        <v>11.029277487650425</v>
      </c>
      <c r="BC10" s="48">
        <v>3</v>
      </c>
      <c r="BD10" s="48">
        <v>8</v>
      </c>
      <c r="BE10" s="46">
        <f t="shared" si="21"/>
        <v>12</v>
      </c>
      <c r="BF10" s="46">
        <f t="shared" si="22"/>
        <v>1</v>
      </c>
      <c r="BG10" s="29"/>
      <c r="BH10" s="29"/>
    </row>
    <row r="11" spans="1:61" x14ac:dyDescent="0.3">
      <c r="A11" s="11">
        <v>2217</v>
      </c>
      <c r="B11" s="11" t="s">
        <v>32</v>
      </c>
      <c r="C11" s="11" t="s">
        <v>71</v>
      </c>
      <c r="D11" s="17"/>
      <c r="E11" s="39">
        <v>0.6</v>
      </c>
      <c r="F11" s="40">
        <v>1</v>
      </c>
      <c r="G11" s="12">
        <v>15680</v>
      </c>
      <c r="H11" s="12">
        <v>36000</v>
      </c>
      <c r="I11" s="12">
        <f t="shared" si="23"/>
        <v>9408</v>
      </c>
      <c r="J11" s="12">
        <f t="shared" si="24"/>
        <v>21600</v>
      </c>
      <c r="K11" s="41">
        <v>0.56000000000000005</v>
      </c>
      <c r="L11" s="42">
        <v>500</v>
      </c>
      <c r="M11" s="42">
        <v>0.16</v>
      </c>
      <c r="N11" s="9">
        <f t="shared" si="0"/>
        <v>0.95946061414094708</v>
      </c>
      <c r="O11" s="9">
        <f t="shared" si="1"/>
        <v>8.1363459402095533</v>
      </c>
      <c r="P11" s="47">
        <v>1</v>
      </c>
      <c r="Q11" s="8">
        <f t="shared" si="2"/>
        <v>949.29408000000012</v>
      </c>
      <c r="R11" s="14">
        <f t="shared" si="3"/>
        <v>4.4036697247706424</v>
      </c>
      <c r="S11" s="35">
        <f t="shared" si="25"/>
        <v>56.954421581466875</v>
      </c>
      <c r="T11" s="15">
        <f t="shared" si="5"/>
        <v>7723.785033872964</v>
      </c>
      <c r="U11" s="7">
        <f t="shared" si="6"/>
        <v>2.2727272727272729</v>
      </c>
      <c r="V11" s="4">
        <f t="shared" si="7"/>
        <v>280</v>
      </c>
      <c r="W11" s="4">
        <f t="shared" si="8"/>
        <v>219.99999999999997</v>
      </c>
      <c r="X11" s="4">
        <f t="shared" si="26"/>
        <v>879.99999999999989</v>
      </c>
      <c r="Y11" s="43">
        <v>0.4</v>
      </c>
      <c r="Z11" s="22">
        <f t="shared" si="34"/>
        <v>88</v>
      </c>
      <c r="AA11" s="4">
        <f t="shared" si="35"/>
        <v>131.99999999999997</v>
      </c>
      <c r="AB11" s="4">
        <f t="shared" si="27"/>
        <v>527.99999999999989</v>
      </c>
      <c r="AC11" s="7">
        <f t="shared" si="28"/>
        <v>6.5181316313682114</v>
      </c>
      <c r="AD11" s="10">
        <f t="shared" si="11"/>
        <v>0.29562056916094709</v>
      </c>
      <c r="AE11" s="10">
        <f t="shared" si="12"/>
        <v>2.3077629997436722</v>
      </c>
      <c r="AF11" s="19">
        <v>40</v>
      </c>
      <c r="AG11" s="19">
        <v>200</v>
      </c>
      <c r="AH11" s="23">
        <v>0.2</v>
      </c>
      <c r="AI11" s="18">
        <f t="shared" si="13"/>
        <v>26.399999999999995</v>
      </c>
      <c r="AJ11" s="18">
        <f t="shared" si="14"/>
        <v>105.59999999999998</v>
      </c>
      <c r="AK11" s="24">
        <f t="shared" si="15"/>
        <v>2.0882908217060643</v>
      </c>
      <c r="AL11" s="24">
        <f t="shared" si="16"/>
        <v>10</v>
      </c>
      <c r="AM11" s="24">
        <f t="shared" si="17"/>
        <v>0.2</v>
      </c>
      <c r="AN11" s="24">
        <f t="shared" si="36"/>
        <v>12.288290821706063</v>
      </c>
      <c r="AO11" s="25">
        <f t="shared" si="37"/>
        <v>8.5935466154062627</v>
      </c>
      <c r="AP11" s="26">
        <f t="shared" si="18"/>
        <v>343.7418646162505</v>
      </c>
      <c r="AQ11" s="55">
        <v>2.5</v>
      </c>
      <c r="AR11" s="26">
        <f t="shared" si="31"/>
        <v>137.4967458465002</v>
      </c>
      <c r="AT11" s="27">
        <f t="shared" si="19"/>
        <v>4.4036697247706424</v>
      </c>
      <c r="AU11" s="48">
        <v>8</v>
      </c>
      <c r="AV11" s="53">
        <f t="shared" si="32"/>
        <v>200</v>
      </c>
      <c r="AW11" s="48">
        <v>16</v>
      </c>
      <c r="AX11" s="49" t="s">
        <v>49</v>
      </c>
      <c r="AY11" s="49" t="s">
        <v>64</v>
      </c>
      <c r="AZ11" s="51">
        <v>0</v>
      </c>
      <c r="BA11" s="51">
        <v>3</v>
      </c>
      <c r="BB11" s="28">
        <f t="shared" si="20"/>
        <v>8.5935466154062627</v>
      </c>
      <c r="BC11" s="48">
        <v>3</v>
      </c>
      <c r="BD11" s="48">
        <v>6</v>
      </c>
      <c r="BE11" s="46">
        <f t="shared" si="21"/>
        <v>8</v>
      </c>
      <c r="BF11" s="46">
        <f t="shared" si="22"/>
        <v>1</v>
      </c>
      <c r="BG11" s="29"/>
      <c r="BH11" s="29"/>
    </row>
    <row r="12" spans="1:61" x14ac:dyDescent="0.3">
      <c r="A12" s="11">
        <v>2217</v>
      </c>
      <c r="B12" s="11" t="s">
        <v>32</v>
      </c>
      <c r="C12" s="11" t="s">
        <v>63</v>
      </c>
      <c r="D12" s="17"/>
      <c r="E12" s="39">
        <v>0.7</v>
      </c>
      <c r="F12" s="40">
        <v>8</v>
      </c>
      <c r="G12" s="12">
        <v>15680</v>
      </c>
      <c r="H12" s="12">
        <v>36000</v>
      </c>
      <c r="I12" s="12">
        <f t="shared" si="23"/>
        <v>10976</v>
      </c>
      <c r="J12" s="12">
        <f t="shared" si="24"/>
        <v>201600</v>
      </c>
      <c r="K12" s="41">
        <v>0.5</v>
      </c>
      <c r="L12" s="42">
        <v>40000</v>
      </c>
      <c r="M12" s="42">
        <v>0.16</v>
      </c>
      <c r="N12" s="9">
        <f t="shared" si="0"/>
        <v>0.95946061414094708</v>
      </c>
      <c r="O12" s="9">
        <f t="shared" si="1"/>
        <v>8.0143588947968141</v>
      </c>
      <c r="P12" s="47">
        <v>1</v>
      </c>
      <c r="Q12" s="8">
        <f t="shared" si="2"/>
        <v>949.29408000000012</v>
      </c>
      <c r="R12" s="14">
        <f t="shared" si="3"/>
        <v>0.51376146788990829</v>
      </c>
      <c r="S12" s="35">
        <f t="shared" si="25"/>
        <v>56.100512263577698</v>
      </c>
      <c r="T12" s="15">
        <f t="shared" si="5"/>
        <v>7607.9834538259593</v>
      </c>
      <c r="U12" s="7">
        <f t="shared" si="6"/>
        <v>2</v>
      </c>
      <c r="V12" s="4">
        <f t="shared" si="7"/>
        <v>20000</v>
      </c>
      <c r="W12" s="4">
        <f t="shared" si="8"/>
        <v>20000</v>
      </c>
      <c r="X12" s="4">
        <f t="shared" si="26"/>
        <v>80000</v>
      </c>
      <c r="Y12" s="43">
        <v>0.4</v>
      </c>
      <c r="Z12" s="22">
        <f t="shared" si="34"/>
        <v>8000</v>
      </c>
      <c r="AA12" s="4">
        <f t="shared" si="35"/>
        <v>12000</v>
      </c>
      <c r="AB12" s="4">
        <f t="shared" si="27"/>
        <v>48000</v>
      </c>
      <c r="AC12" s="7">
        <f t="shared" si="28"/>
        <v>28.794119114848609</v>
      </c>
      <c r="AD12" s="10">
        <f t="shared" si="11"/>
        <v>2.4959003415224359</v>
      </c>
      <c r="AE12" s="10">
        <f t="shared" si="12"/>
        <v>19.192130100993676</v>
      </c>
      <c r="AF12" s="19">
        <v>60</v>
      </c>
      <c r="AG12" s="19">
        <v>250</v>
      </c>
      <c r="AH12" s="23">
        <v>0.6</v>
      </c>
      <c r="AI12" s="18">
        <f t="shared" si="13"/>
        <v>7200</v>
      </c>
      <c r="AJ12" s="18">
        <f t="shared" si="14"/>
        <v>4800</v>
      </c>
      <c r="AK12" s="24">
        <f t="shared" si="15"/>
        <v>2.0569813826563399</v>
      </c>
      <c r="AL12" s="24">
        <f t="shared" si="16"/>
        <v>15</v>
      </c>
      <c r="AM12" s="24">
        <f t="shared" si="17"/>
        <v>0.25</v>
      </c>
      <c r="AN12" s="24">
        <f t="shared" si="36"/>
        <v>17.306981382656339</v>
      </c>
      <c r="AO12" s="25">
        <f t="shared" si="37"/>
        <v>277.34472545340418</v>
      </c>
      <c r="AP12" s="26">
        <f t="shared" si="18"/>
        <v>16640.683527204252</v>
      </c>
      <c r="AQ12" s="55">
        <v>4</v>
      </c>
      <c r="AR12" s="26">
        <f t="shared" si="31"/>
        <v>4160.1708818010629</v>
      </c>
      <c r="AT12" s="27">
        <f t="shared" si="19"/>
        <v>0.51376146788990829</v>
      </c>
      <c r="AU12" s="48">
        <v>6</v>
      </c>
      <c r="AV12" s="53">
        <f t="shared" si="32"/>
        <v>16000</v>
      </c>
      <c r="AW12" s="48">
        <v>70</v>
      </c>
      <c r="AX12" s="49" t="s">
        <v>75</v>
      </c>
      <c r="AY12" s="49" t="s">
        <v>48</v>
      </c>
      <c r="AZ12" s="51">
        <v>1</v>
      </c>
      <c r="BA12" s="51">
        <v>4</v>
      </c>
      <c r="BB12" s="28">
        <f t="shared" si="20"/>
        <v>277.34472545340418</v>
      </c>
      <c r="BC12" s="48">
        <v>200</v>
      </c>
      <c r="BD12" s="48">
        <v>77</v>
      </c>
      <c r="BE12" s="46">
        <f t="shared" si="21"/>
        <v>8</v>
      </c>
      <c r="BF12" s="46">
        <f t="shared" si="22"/>
        <v>1</v>
      </c>
      <c r="BG12" s="29"/>
      <c r="BH12" s="29"/>
    </row>
    <row r="13" spans="1:61" x14ac:dyDescent="0.3">
      <c r="A13" s="11">
        <v>2217</v>
      </c>
      <c r="B13" s="11" t="s">
        <v>32</v>
      </c>
      <c r="C13" s="11" t="s">
        <v>70</v>
      </c>
      <c r="D13" s="17"/>
      <c r="E13" s="39">
        <v>0.7</v>
      </c>
      <c r="F13" s="40">
        <v>4</v>
      </c>
      <c r="G13" s="12">
        <v>15680</v>
      </c>
      <c r="H13" s="12">
        <v>36000</v>
      </c>
      <c r="I13" s="12">
        <f t="shared" si="23"/>
        <v>10976</v>
      </c>
      <c r="J13" s="12">
        <f t="shared" si="24"/>
        <v>100800</v>
      </c>
      <c r="K13" s="41">
        <v>0.3</v>
      </c>
      <c r="L13" s="42">
        <v>30000</v>
      </c>
      <c r="M13" s="42">
        <v>0.04</v>
      </c>
      <c r="N13" s="9">
        <f t="shared" si="0"/>
        <v>0.95946061414094708</v>
      </c>
      <c r="O13" s="9">
        <f t="shared" si="1"/>
        <v>8.2479481693839833</v>
      </c>
      <c r="P13" s="47">
        <v>2</v>
      </c>
      <c r="Q13" s="8">
        <f t="shared" si="2"/>
        <v>474.64704000000006</v>
      </c>
      <c r="R13" s="14">
        <f t="shared" si="3"/>
        <v>0.34250764525993882</v>
      </c>
      <c r="S13" s="35">
        <f t="shared" si="25"/>
        <v>115.47127437137577</v>
      </c>
      <c r="T13" s="15">
        <f t="shared" si="5"/>
        <v>3914.8641846715268</v>
      </c>
      <c r="U13" s="7">
        <f t="shared" si="6"/>
        <v>1.4285714285714286</v>
      </c>
      <c r="V13" s="4">
        <f t="shared" si="7"/>
        <v>9000</v>
      </c>
      <c r="W13" s="4">
        <f t="shared" si="8"/>
        <v>21000</v>
      </c>
      <c r="X13" s="4">
        <f t="shared" si="26"/>
        <v>84000</v>
      </c>
      <c r="Y13" s="43">
        <v>0.3</v>
      </c>
      <c r="Z13" s="22">
        <f t="shared" si="34"/>
        <v>6300</v>
      </c>
      <c r="AA13" s="4">
        <f t="shared" si="35"/>
        <v>14699.999999999998</v>
      </c>
      <c r="AB13" s="4">
        <f t="shared" si="27"/>
        <v>58799.999999999993</v>
      </c>
      <c r="AC13" s="7">
        <f t="shared" si="28"/>
        <v>28.105939888811644</v>
      </c>
      <c r="AD13" s="10">
        <f t="shared" si="11"/>
        <v>1.9264850367061164</v>
      </c>
      <c r="AE13" s="10">
        <f t="shared" si="12"/>
        <v>7.6226980923396628</v>
      </c>
      <c r="AF13" s="19">
        <v>60</v>
      </c>
      <c r="AG13" s="19">
        <v>250</v>
      </c>
      <c r="AH13" s="23">
        <v>0.1</v>
      </c>
      <c r="AI13" s="18">
        <f t="shared" si="13"/>
        <v>1470</v>
      </c>
      <c r="AJ13" s="18">
        <f t="shared" si="14"/>
        <v>13229.999999999998</v>
      </c>
      <c r="AK13" s="24">
        <f t="shared" si="15"/>
        <v>4.2338697461008641</v>
      </c>
      <c r="AL13" s="24">
        <f t="shared" si="16"/>
        <v>15</v>
      </c>
      <c r="AM13" s="24">
        <f t="shared" si="17"/>
        <v>0.25</v>
      </c>
      <c r="AN13" s="24">
        <f t="shared" si="36"/>
        <v>19.483869746100865</v>
      </c>
      <c r="AO13" s="25">
        <f t="shared" si="37"/>
        <v>679.02322138278521</v>
      </c>
      <c r="AP13" s="26">
        <f t="shared" si="18"/>
        <v>40741.39328296711</v>
      </c>
      <c r="AQ13" s="55">
        <v>3.5</v>
      </c>
      <c r="AR13" s="26">
        <f t="shared" si="31"/>
        <v>11640.398080847746</v>
      </c>
      <c r="AT13" s="27">
        <f t="shared" si="19"/>
        <v>0.34250764525993882</v>
      </c>
      <c r="AU13" s="48">
        <v>4</v>
      </c>
      <c r="AV13" s="53">
        <f t="shared" si="32"/>
        <v>9000</v>
      </c>
      <c r="AW13" s="48">
        <v>24</v>
      </c>
      <c r="AX13" s="49" t="s">
        <v>77</v>
      </c>
      <c r="AY13" s="49" t="s">
        <v>47</v>
      </c>
      <c r="AZ13" s="51">
        <v>-1</v>
      </c>
      <c r="BA13" s="51">
        <v>2</v>
      </c>
      <c r="BB13" s="28">
        <f t="shared" si="20"/>
        <v>679.02322138278521</v>
      </c>
      <c r="BC13" s="48">
        <v>30</v>
      </c>
      <c r="BD13" s="48">
        <v>609</v>
      </c>
      <c r="BE13" s="46">
        <f t="shared" si="21"/>
        <v>8</v>
      </c>
      <c r="BF13" s="46">
        <f t="shared" si="22"/>
        <v>2</v>
      </c>
      <c r="BG13" s="29" t="s">
        <v>76</v>
      </c>
      <c r="BH13" s="29"/>
    </row>
    <row r="14" spans="1:61" x14ac:dyDescent="0.3">
      <c r="A14" s="11">
        <v>2217</v>
      </c>
      <c r="B14" s="11" t="s">
        <v>32</v>
      </c>
      <c r="C14" s="11" t="s">
        <v>91</v>
      </c>
      <c r="D14" s="17"/>
      <c r="E14" s="39">
        <v>0.8</v>
      </c>
      <c r="F14" s="40">
        <v>8</v>
      </c>
      <c r="G14" s="12">
        <v>15680</v>
      </c>
      <c r="H14" s="12">
        <v>36000</v>
      </c>
      <c r="I14" s="12">
        <f t="shared" ref="I14" si="38">G14*E14</f>
        <v>12544</v>
      </c>
      <c r="J14" s="12">
        <f t="shared" ref="J14" si="39">H14*F14*E14</f>
        <v>230400</v>
      </c>
      <c r="K14" s="41">
        <v>0.7</v>
      </c>
      <c r="L14" s="42">
        <v>10000</v>
      </c>
      <c r="M14" s="42">
        <v>0.18</v>
      </c>
      <c r="N14" s="9">
        <f t="shared" ref="N14" si="40">((M14*9.81)*(P14*P14*604800*604800)/4)/149597870700</f>
        <v>1.0793931909085654</v>
      </c>
      <c r="O14" s="9">
        <f t="shared" ref="O14" si="41">T14/Q14</f>
        <v>14.141628606539141</v>
      </c>
      <c r="P14" s="47">
        <v>1</v>
      </c>
      <c r="Q14" s="8">
        <f t="shared" ref="Q14" si="42">SQRT((N14*149597870700)*(M14*9.81))*2/1000</f>
        <v>1067.9558400000001</v>
      </c>
      <c r="R14" s="14">
        <f t="shared" ref="R14" si="43">(J14*1000)/(L14*1000)/9.81</f>
        <v>2.3486238532110089</v>
      </c>
      <c r="S14" s="35">
        <f t="shared" ref="S14" si="44">O14*P14*7</f>
        <v>98.991400245773988</v>
      </c>
      <c r="T14" s="15">
        <f t="shared" ref="T14" si="45">I14*1000*LN(U14)/1000</f>
        <v>15102.63485746454</v>
      </c>
      <c r="U14" s="7">
        <f t="shared" ref="U14" si="46">1/(1-K14)</f>
        <v>3.333333333333333</v>
      </c>
      <c r="V14" s="4">
        <f t="shared" ref="V14" si="47">L14*K14</f>
        <v>7000</v>
      </c>
      <c r="W14" s="4">
        <f t="shared" ref="W14" si="48">L14*(1-K14)</f>
        <v>3000.0000000000005</v>
      </c>
      <c r="X14" s="4">
        <f t="shared" ref="X14" si="49">W14*4</f>
        <v>12000.000000000002</v>
      </c>
      <c r="Y14" s="43">
        <v>0.2</v>
      </c>
      <c r="Z14" s="22">
        <f t="shared" ref="Z14" si="50">W14*Y14</f>
        <v>600.00000000000011</v>
      </c>
      <c r="AA14" s="4">
        <f t="shared" ref="AA14" si="51">W14*(1-Y14)</f>
        <v>2400.0000000000005</v>
      </c>
      <c r="AB14" s="4">
        <f t="shared" ref="AB14" si="52">AA14*4</f>
        <v>9600.0000000000018</v>
      </c>
      <c r="AC14" s="7">
        <f t="shared" ref="AC14" si="53">POWER(((V14+X14)/((4/3)*PI())),1/3)</f>
        <v>16.553442727014268</v>
      </c>
      <c r="AD14" s="10">
        <f t="shared" ref="AD14" si="54">(SQRT((AE14*149597870700)/(R14*9.81))*2)/(24*7*3600)</f>
        <v>1.0838232549230391</v>
      </c>
      <c r="AE14" s="10">
        <f t="shared" ref="AE14" si="55">((T14*1000/2)*(T14*1000/2)/(R14*9.81))/149597870700</f>
        <v>16.543887443263344</v>
      </c>
      <c r="AF14" s="19">
        <v>0</v>
      </c>
      <c r="AG14" s="19">
        <v>0</v>
      </c>
      <c r="AH14" s="23">
        <v>1</v>
      </c>
      <c r="AI14" s="18">
        <f t="shared" ref="AI14" si="56">AA14*AH14</f>
        <v>2400.0000000000005</v>
      </c>
      <c r="AJ14" s="18">
        <f t="shared" ref="AJ14" si="57">AA14-AI14</f>
        <v>0</v>
      </c>
      <c r="AK14" s="24">
        <f t="shared" ref="AK14" si="58">0.036666*S14</f>
        <v>3.6296186814115488</v>
      </c>
      <c r="AL14" s="24">
        <f t="shared" ref="AL14" si="59">AF14/4</f>
        <v>0</v>
      </c>
      <c r="AM14" s="24">
        <f t="shared" ref="AM14" si="60">AG14/1000</f>
        <v>0</v>
      </c>
      <c r="AN14" s="24">
        <f t="shared" ref="AN14" si="61">AM14+AL14+AK14</f>
        <v>3.6296186814115488</v>
      </c>
      <c r="AO14" s="25">
        <f t="shared" ref="AO14" si="62">AJ14/AN14</f>
        <v>0</v>
      </c>
      <c r="AP14" s="26">
        <f t="shared" ref="AP14" si="63">AF14*AO14</f>
        <v>0</v>
      </c>
      <c r="AQ14" s="55">
        <v>4</v>
      </c>
      <c r="AR14" s="26">
        <f t="shared" si="31"/>
        <v>0</v>
      </c>
      <c r="AT14" s="27">
        <f t="shared" si="19"/>
        <v>2.3486238532110089</v>
      </c>
      <c r="AU14" s="48">
        <v>10</v>
      </c>
      <c r="AV14" s="53">
        <f t="shared" si="32"/>
        <v>2000</v>
      </c>
      <c r="AW14" s="48">
        <v>80</v>
      </c>
      <c r="AX14" s="49" t="s">
        <v>90</v>
      </c>
      <c r="AY14" s="49" t="s">
        <v>64</v>
      </c>
      <c r="AZ14" s="51">
        <v>2</v>
      </c>
      <c r="BA14" s="51">
        <v>4</v>
      </c>
      <c r="BB14" s="28">
        <f t="shared" si="20"/>
        <v>0</v>
      </c>
      <c r="BC14" s="48">
        <v>0</v>
      </c>
      <c r="BD14" s="48">
        <v>0</v>
      </c>
      <c r="BE14" s="46">
        <f t="shared" si="21"/>
        <v>14</v>
      </c>
      <c r="BF14" s="46">
        <f t="shared" si="22"/>
        <v>1</v>
      </c>
      <c r="BG14" s="29"/>
      <c r="BH14" s="29"/>
    </row>
    <row r="15" spans="1:61" x14ac:dyDescent="0.3">
      <c r="A15" s="11">
        <v>2217</v>
      </c>
      <c r="B15" s="11" t="s">
        <v>32</v>
      </c>
      <c r="C15" s="11" t="s">
        <v>83</v>
      </c>
      <c r="D15" s="17"/>
      <c r="E15" s="39">
        <v>0.7</v>
      </c>
      <c r="F15" s="40">
        <v>1</v>
      </c>
      <c r="G15" s="12">
        <v>15680</v>
      </c>
      <c r="H15" s="12">
        <v>36000</v>
      </c>
      <c r="I15" s="12">
        <f t="shared" si="23"/>
        <v>10976</v>
      </c>
      <c r="J15" s="12">
        <f t="shared" si="24"/>
        <v>25200</v>
      </c>
      <c r="K15" s="41">
        <v>0.6</v>
      </c>
      <c r="L15" s="42">
        <v>500</v>
      </c>
      <c r="M15" s="42">
        <v>0.3</v>
      </c>
      <c r="N15" s="9">
        <f t="shared" si="0"/>
        <v>1.0119311164767801</v>
      </c>
      <c r="O15" s="9">
        <f t="shared" si="1"/>
        <v>7.5337999541634426</v>
      </c>
      <c r="P15" s="47">
        <v>0.75</v>
      </c>
      <c r="Q15" s="8">
        <f t="shared" si="2"/>
        <v>1334.9448</v>
      </c>
      <c r="R15" s="14">
        <f t="shared" si="3"/>
        <v>5.137614678899082</v>
      </c>
      <c r="S15" s="35">
        <f t="shared" si="25"/>
        <v>39.552449759358076</v>
      </c>
      <c r="T15" s="15">
        <f t="shared" si="5"/>
        <v>10057.207073050726</v>
      </c>
      <c r="U15" s="7">
        <f t="shared" si="6"/>
        <v>2.5</v>
      </c>
      <c r="V15" s="4">
        <f t="shared" si="7"/>
        <v>300</v>
      </c>
      <c r="W15" s="4">
        <f t="shared" si="8"/>
        <v>200</v>
      </c>
      <c r="X15" s="4">
        <f t="shared" si="26"/>
        <v>800</v>
      </c>
      <c r="Y15" s="43">
        <v>0.5</v>
      </c>
      <c r="Z15" s="22">
        <f t="shared" ref="Z15:Z23" si="64">W15*Y15</f>
        <v>100</v>
      </c>
      <c r="AA15" s="4">
        <f t="shared" ref="AA15:AA23" si="65">W15*(1-Y15)</f>
        <v>100</v>
      </c>
      <c r="AB15" s="4">
        <f t="shared" si="27"/>
        <v>400</v>
      </c>
      <c r="AC15" s="7">
        <f t="shared" si="28"/>
        <v>6.4037547636904666</v>
      </c>
      <c r="AD15" s="10">
        <f t="shared" si="11"/>
        <v>0.32994007834974726</v>
      </c>
      <c r="AE15" s="10">
        <f t="shared" si="12"/>
        <v>3.3538130050195476</v>
      </c>
      <c r="AF15" s="19">
        <v>60</v>
      </c>
      <c r="AG15" s="19">
        <v>200</v>
      </c>
      <c r="AH15" s="23">
        <v>0.2</v>
      </c>
      <c r="AI15" s="18">
        <f t="shared" si="13"/>
        <v>20</v>
      </c>
      <c r="AJ15" s="18">
        <f t="shared" si="14"/>
        <v>80</v>
      </c>
      <c r="AK15" s="24">
        <f t="shared" si="15"/>
        <v>1.450230122876623</v>
      </c>
      <c r="AL15" s="24">
        <f t="shared" si="16"/>
        <v>15</v>
      </c>
      <c r="AM15" s="24">
        <f t="shared" si="17"/>
        <v>0.2</v>
      </c>
      <c r="AN15" s="24">
        <f t="shared" si="36"/>
        <v>16.650230122876621</v>
      </c>
      <c r="AO15" s="25">
        <f t="shared" si="37"/>
        <v>4.8047383975842965</v>
      </c>
      <c r="AP15" s="26">
        <f t="shared" si="18"/>
        <v>288.28430385505777</v>
      </c>
      <c r="AQ15" s="55">
        <v>2.2000000000000002</v>
      </c>
      <c r="AR15" s="26">
        <f t="shared" si="31"/>
        <v>131.03831993411717</v>
      </c>
      <c r="AT15" s="27">
        <f t="shared" si="19"/>
        <v>5.137614678899082</v>
      </c>
      <c r="AU15" s="32">
        <v>10</v>
      </c>
      <c r="AV15" s="53">
        <f t="shared" si="32"/>
        <v>250</v>
      </c>
      <c r="AW15" s="32">
        <v>16</v>
      </c>
      <c r="AX15" s="30" t="s">
        <v>49</v>
      </c>
      <c r="AY15" s="30" t="s">
        <v>44</v>
      </c>
      <c r="AZ15" s="36">
        <v>0</v>
      </c>
      <c r="BA15" s="36">
        <v>3</v>
      </c>
      <c r="BB15" s="28">
        <f t="shared" si="20"/>
        <v>4.8047383975842965</v>
      </c>
      <c r="BC15" s="32">
        <v>5</v>
      </c>
      <c r="BD15" s="32">
        <v>0</v>
      </c>
      <c r="BE15" s="46">
        <f t="shared" si="21"/>
        <v>7</v>
      </c>
      <c r="BF15" s="46">
        <f t="shared" si="22"/>
        <v>0.75</v>
      </c>
      <c r="BG15" s="29"/>
      <c r="BH15" s="29"/>
    </row>
    <row r="16" spans="1:61" x14ac:dyDescent="0.3">
      <c r="A16" s="11">
        <v>2217</v>
      </c>
      <c r="B16" s="11" t="s">
        <v>32</v>
      </c>
      <c r="C16" s="11" t="s">
        <v>84</v>
      </c>
      <c r="D16" s="17"/>
      <c r="E16" s="39">
        <v>0.7</v>
      </c>
      <c r="F16" s="40">
        <v>2</v>
      </c>
      <c r="G16" s="12">
        <v>15680</v>
      </c>
      <c r="H16" s="12">
        <v>36000</v>
      </c>
      <c r="I16" s="12">
        <f t="shared" si="23"/>
        <v>10976</v>
      </c>
      <c r="J16" s="12">
        <f t="shared" si="24"/>
        <v>50400</v>
      </c>
      <c r="K16" s="41">
        <v>0.55000000000000004</v>
      </c>
      <c r="L16" s="42">
        <v>1000</v>
      </c>
      <c r="M16" s="42">
        <v>0.22</v>
      </c>
      <c r="N16" s="9">
        <f t="shared" si="0"/>
        <v>0.74208281874963888</v>
      </c>
      <c r="O16" s="9">
        <f t="shared" si="1"/>
        <v>8.9527915042761528</v>
      </c>
      <c r="P16" s="47">
        <v>0.75</v>
      </c>
      <c r="Q16" s="8">
        <f t="shared" si="2"/>
        <v>978.95952000000011</v>
      </c>
      <c r="R16" s="14">
        <f t="shared" si="3"/>
        <v>5.137614678899082</v>
      </c>
      <c r="S16" s="35">
        <f t="shared" si="25"/>
        <v>47.002155397449805</v>
      </c>
      <c r="T16" s="15">
        <f t="shared" si="5"/>
        <v>8764.4204736862612</v>
      </c>
      <c r="U16" s="7">
        <f t="shared" si="6"/>
        <v>2.2222222222222223</v>
      </c>
      <c r="V16" s="4">
        <f t="shared" si="7"/>
        <v>550</v>
      </c>
      <c r="W16" s="4">
        <f t="shared" si="8"/>
        <v>449.99999999999994</v>
      </c>
      <c r="X16" s="4">
        <f t="shared" si="26"/>
        <v>1799.9999999999998</v>
      </c>
      <c r="Y16" s="43">
        <v>0.5</v>
      </c>
      <c r="Z16" s="22">
        <f t="shared" si="64"/>
        <v>224.99999999999997</v>
      </c>
      <c r="AA16" s="4">
        <f t="shared" si="65"/>
        <v>224.99999999999997</v>
      </c>
      <c r="AB16" s="4">
        <f t="shared" si="27"/>
        <v>899.99999999999989</v>
      </c>
      <c r="AC16" s="7">
        <f t="shared" si="28"/>
        <v>8.2475777371094932</v>
      </c>
      <c r="AD16" s="10">
        <f t="shared" si="11"/>
        <v>0.28752849143644038</v>
      </c>
      <c r="AE16" s="10">
        <f t="shared" si="12"/>
        <v>2.5470089413751653</v>
      </c>
      <c r="AF16" s="19">
        <v>60</v>
      </c>
      <c r="AG16" s="19">
        <v>200</v>
      </c>
      <c r="AH16" s="23">
        <v>0.2</v>
      </c>
      <c r="AI16" s="18">
        <f t="shared" si="13"/>
        <v>45</v>
      </c>
      <c r="AJ16" s="18">
        <f t="shared" si="14"/>
        <v>179.99999999999997</v>
      </c>
      <c r="AK16" s="24">
        <f t="shared" si="15"/>
        <v>1.7233810298028944</v>
      </c>
      <c r="AL16" s="24">
        <f t="shared" si="16"/>
        <v>15</v>
      </c>
      <c r="AM16" s="24">
        <f t="shared" si="17"/>
        <v>0.2</v>
      </c>
      <c r="AN16" s="24">
        <f t="shared" si="36"/>
        <v>16.923381029802893</v>
      </c>
      <c r="AO16" s="25">
        <f t="shared" si="37"/>
        <v>10.636172504951064</v>
      </c>
      <c r="AP16" s="26">
        <f t="shared" si="18"/>
        <v>638.17035029706381</v>
      </c>
      <c r="AQ16" s="55">
        <v>2.5</v>
      </c>
      <c r="AR16" s="26">
        <f t="shared" si="31"/>
        <v>255.26814011882553</v>
      </c>
      <c r="AT16" s="27">
        <f t="shared" si="19"/>
        <v>5.137614678899082</v>
      </c>
      <c r="AU16" s="32">
        <v>10</v>
      </c>
      <c r="AV16" s="53">
        <f t="shared" si="32"/>
        <v>500</v>
      </c>
      <c r="AW16" s="32">
        <v>18</v>
      </c>
      <c r="AX16" s="30" t="s">
        <v>46</v>
      </c>
      <c r="AY16" s="30" t="s">
        <v>44</v>
      </c>
      <c r="AZ16" s="36">
        <v>-1</v>
      </c>
      <c r="BA16" s="36">
        <v>3</v>
      </c>
      <c r="BB16" s="28">
        <f t="shared" si="20"/>
        <v>10.636172504951064</v>
      </c>
      <c r="BC16" s="32">
        <v>10</v>
      </c>
      <c r="BD16" s="32">
        <v>0</v>
      </c>
      <c r="BE16" s="46">
        <f t="shared" si="21"/>
        <v>8</v>
      </c>
      <c r="BF16" s="46">
        <f t="shared" si="22"/>
        <v>0.75</v>
      </c>
      <c r="BG16" s="29"/>
      <c r="BH16" s="29"/>
    </row>
    <row r="17" spans="1:60" x14ac:dyDescent="0.3">
      <c r="A17" s="11">
        <v>2217</v>
      </c>
      <c r="B17" s="11" t="s">
        <v>32</v>
      </c>
      <c r="C17" s="11" t="s">
        <v>85</v>
      </c>
      <c r="D17" s="17" t="s">
        <v>87</v>
      </c>
      <c r="E17" s="39">
        <v>0.3</v>
      </c>
      <c r="F17" s="40">
        <v>1</v>
      </c>
      <c r="G17" s="12">
        <v>15680</v>
      </c>
      <c r="H17" s="12">
        <v>36000</v>
      </c>
      <c r="I17" s="12">
        <f t="shared" si="23"/>
        <v>4704</v>
      </c>
      <c r="J17" s="12">
        <f t="shared" si="24"/>
        <v>10800</v>
      </c>
      <c r="K17" s="41">
        <v>0.2</v>
      </c>
      <c r="L17" s="42">
        <v>500</v>
      </c>
      <c r="M17" s="42">
        <v>0.14000000000000001</v>
      </c>
      <c r="N17" s="9">
        <f t="shared" si="0"/>
        <v>0.83952803737332882</v>
      </c>
      <c r="O17" s="9">
        <f t="shared" si="1"/>
        <v>1.2636966322018899</v>
      </c>
      <c r="P17" s="47">
        <v>1</v>
      </c>
      <c r="Q17" s="8">
        <f t="shared" si="2"/>
        <v>830.63232000000005</v>
      </c>
      <c r="R17" s="14">
        <f t="shared" si="3"/>
        <v>2.2018348623853212</v>
      </c>
      <c r="S17" s="35">
        <f t="shared" si="25"/>
        <v>8.8458764254132287</v>
      </c>
      <c r="T17" s="15">
        <f t="shared" si="5"/>
        <v>1049.6672653820426</v>
      </c>
      <c r="U17" s="7">
        <f t="shared" si="6"/>
        <v>1.25</v>
      </c>
      <c r="V17" s="4">
        <f t="shared" si="7"/>
        <v>100</v>
      </c>
      <c r="W17" s="4">
        <f t="shared" si="8"/>
        <v>400</v>
      </c>
      <c r="X17" s="4">
        <f t="shared" si="26"/>
        <v>1600</v>
      </c>
      <c r="Y17" s="43">
        <v>0.3</v>
      </c>
      <c r="Z17" s="22">
        <f t="shared" si="64"/>
        <v>120</v>
      </c>
      <c r="AA17" s="4">
        <f t="shared" si="65"/>
        <v>280</v>
      </c>
      <c r="AB17" s="4">
        <f t="shared" si="27"/>
        <v>1120</v>
      </c>
      <c r="AC17" s="7">
        <f t="shared" si="28"/>
        <v>7.4037788399230609</v>
      </c>
      <c r="AD17" s="10">
        <f t="shared" si="11"/>
        <v>8.0350044197503523E-2</v>
      </c>
      <c r="AE17" s="10">
        <f t="shared" si="12"/>
        <v>8.5244065230651103E-2</v>
      </c>
      <c r="AF17" s="19">
        <v>5</v>
      </c>
      <c r="AG17" s="19">
        <v>250</v>
      </c>
      <c r="AH17" s="23">
        <v>0.25</v>
      </c>
      <c r="AI17" s="18">
        <f t="shared" si="13"/>
        <v>70</v>
      </c>
      <c r="AJ17" s="18">
        <f t="shared" si="14"/>
        <v>210</v>
      </c>
      <c r="AK17" s="24">
        <f t="shared" si="15"/>
        <v>0.32434290501420143</v>
      </c>
      <c r="AL17" s="24">
        <f t="shared" si="16"/>
        <v>1.25</v>
      </c>
      <c r="AM17" s="24">
        <f t="shared" si="17"/>
        <v>0.25</v>
      </c>
      <c r="AN17" s="24">
        <f t="shared" si="36"/>
        <v>1.8243429050142015</v>
      </c>
      <c r="AO17" s="25">
        <f t="shared" si="37"/>
        <v>115.10993871975251</v>
      </c>
      <c r="AP17" s="26">
        <f t="shared" si="18"/>
        <v>575.54969359876259</v>
      </c>
      <c r="AQ17" s="55">
        <v>2.2000000000000002</v>
      </c>
      <c r="AR17" s="26">
        <f t="shared" si="31"/>
        <v>261.61349709034658</v>
      </c>
      <c r="AT17" s="27">
        <f t="shared" si="19"/>
        <v>2.2018348623853212</v>
      </c>
      <c r="AU17" s="32">
        <v>6</v>
      </c>
      <c r="AV17" s="53">
        <f t="shared" si="32"/>
        <v>150</v>
      </c>
      <c r="AW17" s="32">
        <v>14</v>
      </c>
      <c r="AX17" s="30" t="s">
        <v>49</v>
      </c>
      <c r="AY17" s="30" t="s">
        <v>47</v>
      </c>
      <c r="AZ17" s="36">
        <v>-1</v>
      </c>
      <c r="BA17" s="36">
        <v>2</v>
      </c>
      <c r="BB17" s="28">
        <f t="shared" si="20"/>
        <v>115.10993871975251</v>
      </c>
      <c r="BC17" s="32"/>
      <c r="BD17" s="32"/>
      <c r="BE17" s="46">
        <f t="shared" si="21"/>
        <v>1</v>
      </c>
      <c r="BF17" s="46">
        <f t="shared" si="22"/>
        <v>1</v>
      </c>
      <c r="BG17" s="29"/>
      <c r="BH17" s="29"/>
    </row>
    <row r="18" spans="1:60" x14ac:dyDescent="0.3">
      <c r="A18" s="11">
        <v>2217</v>
      </c>
      <c r="B18" s="11" t="s">
        <v>32</v>
      </c>
      <c r="C18" s="11" t="s">
        <v>86</v>
      </c>
      <c r="D18" s="17"/>
      <c r="E18" s="39">
        <v>0.7</v>
      </c>
      <c r="F18" s="40">
        <v>2</v>
      </c>
      <c r="G18" s="12">
        <v>15680</v>
      </c>
      <c r="H18" s="12">
        <v>36000</v>
      </c>
      <c r="I18" s="12">
        <f t="shared" si="23"/>
        <v>10976</v>
      </c>
      <c r="J18" s="12">
        <f t="shared" si="24"/>
        <v>50400</v>
      </c>
      <c r="K18" s="41">
        <v>0.05</v>
      </c>
      <c r="L18" s="42">
        <v>300</v>
      </c>
      <c r="M18" s="42">
        <v>0.1</v>
      </c>
      <c r="N18" s="9">
        <f t="shared" si="0"/>
        <v>0.59966288383809208</v>
      </c>
      <c r="O18" s="9">
        <f t="shared" si="1"/>
        <v>0.94890754898250962</v>
      </c>
      <c r="P18" s="47">
        <v>1</v>
      </c>
      <c r="Q18" s="8">
        <f t="shared" si="2"/>
        <v>593.30880000000002</v>
      </c>
      <c r="R18" s="14">
        <f t="shared" si="3"/>
        <v>17.12538226299694</v>
      </c>
      <c r="S18" s="35">
        <f t="shared" si="25"/>
        <v>6.6423528428775676</v>
      </c>
      <c r="T18" s="15">
        <f t="shared" si="5"/>
        <v>562.995199197754</v>
      </c>
      <c r="U18" s="7">
        <f t="shared" si="6"/>
        <v>1.0526315789473684</v>
      </c>
      <c r="V18" s="4">
        <f t="shared" si="7"/>
        <v>15</v>
      </c>
      <c r="W18" s="4">
        <f t="shared" si="8"/>
        <v>285</v>
      </c>
      <c r="X18" s="4">
        <f t="shared" si="26"/>
        <v>1140</v>
      </c>
      <c r="Y18" s="43">
        <v>0.85</v>
      </c>
      <c r="Z18" s="22">
        <f t="shared" si="64"/>
        <v>242.25</v>
      </c>
      <c r="AA18" s="4">
        <f t="shared" si="65"/>
        <v>42.750000000000007</v>
      </c>
      <c r="AB18" s="4">
        <f t="shared" si="27"/>
        <v>171.00000000000003</v>
      </c>
      <c r="AC18" s="7">
        <f t="shared" si="28"/>
        <v>6.5087530117507528</v>
      </c>
      <c r="AD18" s="10">
        <f t="shared" si="11"/>
        <v>5.5409422949514401E-3</v>
      </c>
      <c r="AE18" s="10">
        <f t="shared" si="12"/>
        <v>3.152932679787964E-3</v>
      </c>
      <c r="AF18" s="19">
        <v>40</v>
      </c>
      <c r="AG18" s="19">
        <v>250</v>
      </c>
      <c r="AH18" s="23">
        <v>0.5</v>
      </c>
      <c r="AI18" s="18">
        <f t="shared" si="13"/>
        <v>21.375000000000004</v>
      </c>
      <c r="AJ18" s="18">
        <f t="shared" si="14"/>
        <v>21.375000000000004</v>
      </c>
      <c r="AK18" s="24">
        <f t="shared" si="15"/>
        <v>0.24354850933694888</v>
      </c>
      <c r="AL18" s="24">
        <f t="shared" si="16"/>
        <v>10</v>
      </c>
      <c r="AM18" s="24">
        <f t="shared" si="17"/>
        <v>0.25</v>
      </c>
      <c r="AN18" s="24">
        <f t="shared" si="36"/>
        <v>10.493548509336948</v>
      </c>
      <c r="AO18" s="25">
        <f t="shared" si="37"/>
        <v>2.0369658539226227</v>
      </c>
      <c r="AP18" s="26">
        <f t="shared" si="18"/>
        <v>81.478634156904917</v>
      </c>
      <c r="AQ18" s="55">
        <v>2.2000000000000002</v>
      </c>
      <c r="AR18" s="26">
        <f t="shared" si="31"/>
        <v>37.035742798593141</v>
      </c>
      <c r="AT18" s="27">
        <f t="shared" si="19"/>
        <v>17.12538226299694</v>
      </c>
      <c r="AU18" s="32">
        <v>16</v>
      </c>
      <c r="AV18" s="53">
        <f t="shared" si="32"/>
        <v>255</v>
      </c>
      <c r="AW18" s="32">
        <v>10</v>
      </c>
      <c r="AX18" s="30" t="s">
        <v>89</v>
      </c>
      <c r="AY18" s="30" t="s">
        <v>44</v>
      </c>
      <c r="AZ18" s="36">
        <v>-2</v>
      </c>
      <c r="BA18" s="36">
        <v>0</v>
      </c>
      <c r="BB18" s="28">
        <f t="shared" si="20"/>
        <v>2.0369658539226227</v>
      </c>
      <c r="BC18" s="32">
        <v>2</v>
      </c>
      <c r="BD18" s="32">
        <v>0</v>
      </c>
      <c r="BE18" s="46">
        <f t="shared" si="21"/>
        <v>0</v>
      </c>
      <c r="BF18" s="46">
        <f t="shared" si="22"/>
        <v>1</v>
      </c>
      <c r="BG18" s="29"/>
      <c r="BH18" s="29"/>
    </row>
    <row r="19" spans="1:60" x14ac:dyDescent="0.3">
      <c r="A19" s="11">
        <v>2217</v>
      </c>
      <c r="B19" s="11" t="s">
        <v>32</v>
      </c>
      <c r="C19" s="11" t="s">
        <v>92</v>
      </c>
      <c r="D19" s="17"/>
      <c r="E19" s="39">
        <v>0.7</v>
      </c>
      <c r="F19" s="40">
        <v>8</v>
      </c>
      <c r="G19" s="12">
        <v>15680</v>
      </c>
      <c r="H19" s="12">
        <v>36000</v>
      </c>
      <c r="I19" s="12">
        <f t="shared" si="23"/>
        <v>10976</v>
      </c>
      <c r="J19" s="12">
        <f t="shared" si="24"/>
        <v>201600</v>
      </c>
      <c r="K19" s="41">
        <v>0.6</v>
      </c>
      <c r="L19" s="42">
        <v>30000</v>
      </c>
      <c r="M19" s="42">
        <v>0.2</v>
      </c>
      <c r="N19" s="9">
        <f t="shared" si="0"/>
        <v>1.1993257676761842</v>
      </c>
      <c r="O19" s="9">
        <f t="shared" si="1"/>
        <v>8.4755249484338719</v>
      </c>
      <c r="P19" s="47">
        <v>1</v>
      </c>
      <c r="Q19" s="8">
        <f t="shared" si="2"/>
        <v>1186.6176</v>
      </c>
      <c r="R19" s="14">
        <f t="shared" si="3"/>
        <v>0.68501529051987764</v>
      </c>
      <c r="S19" s="35">
        <f t="shared" si="25"/>
        <v>59.328674639037104</v>
      </c>
      <c r="T19" s="15">
        <f t="shared" si="5"/>
        <v>10057.207073050726</v>
      </c>
      <c r="U19" s="7">
        <f t="shared" si="6"/>
        <v>2.5</v>
      </c>
      <c r="V19" s="4">
        <f t="shared" si="7"/>
        <v>18000</v>
      </c>
      <c r="W19" s="4">
        <f t="shared" si="8"/>
        <v>12000</v>
      </c>
      <c r="X19" s="4">
        <f t="shared" si="26"/>
        <v>48000</v>
      </c>
      <c r="Y19" s="43">
        <v>0.45</v>
      </c>
      <c r="Z19" s="22">
        <f t="shared" si="64"/>
        <v>5400</v>
      </c>
      <c r="AA19" s="4">
        <f t="shared" si="65"/>
        <v>6600.0000000000009</v>
      </c>
      <c r="AB19" s="4">
        <f t="shared" si="27"/>
        <v>26400.000000000004</v>
      </c>
      <c r="AC19" s="7">
        <f t="shared" si="28"/>
        <v>25.069852306352761</v>
      </c>
      <c r="AD19" s="10">
        <f t="shared" si="11"/>
        <v>2.4745505876231042</v>
      </c>
      <c r="AE19" s="10">
        <f t="shared" si="12"/>
        <v>25.153597537646604</v>
      </c>
      <c r="AF19" s="19">
        <v>60</v>
      </c>
      <c r="AG19" s="19">
        <v>250</v>
      </c>
      <c r="AH19" s="23">
        <v>0.6</v>
      </c>
      <c r="AI19" s="18">
        <f t="shared" si="13"/>
        <v>3960.0000000000005</v>
      </c>
      <c r="AJ19" s="18">
        <f t="shared" si="14"/>
        <v>2640.0000000000005</v>
      </c>
      <c r="AK19" s="24">
        <f t="shared" si="15"/>
        <v>2.1753451843149341</v>
      </c>
      <c r="AL19" s="24">
        <f t="shared" si="16"/>
        <v>15</v>
      </c>
      <c r="AM19" s="24">
        <f t="shared" si="17"/>
        <v>0.25</v>
      </c>
      <c r="AN19" s="24">
        <f t="shared" si="36"/>
        <v>17.425345184314935</v>
      </c>
      <c r="AO19" s="25">
        <f t="shared" si="37"/>
        <v>151.50345500049789</v>
      </c>
      <c r="AP19" s="26">
        <f t="shared" si="18"/>
        <v>9090.2073000298733</v>
      </c>
      <c r="AQ19" s="55">
        <v>4</v>
      </c>
      <c r="AR19" s="26">
        <f t="shared" si="31"/>
        <v>2272.5518250074683</v>
      </c>
      <c r="AT19" s="27">
        <f t="shared" si="19"/>
        <v>0.68501529051987764</v>
      </c>
      <c r="AU19" s="32">
        <v>6</v>
      </c>
      <c r="AV19" s="53">
        <f t="shared" si="32"/>
        <v>13500</v>
      </c>
      <c r="AW19" s="32">
        <v>50</v>
      </c>
      <c r="AX19" s="54" t="s">
        <v>93</v>
      </c>
      <c r="AY19" s="54" t="s">
        <v>47</v>
      </c>
      <c r="AZ19" s="36">
        <v>1</v>
      </c>
      <c r="BA19" s="36">
        <v>4</v>
      </c>
      <c r="BB19" s="28">
        <f t="shared" si="20"/>
        <v>151.50345500049789</v>
      </c>
      <c r="BC19" s="32">
        <v>102</v>
      </c>
      <c r="BD19" s="32">
        <v>50</v>
      </c>
      <c r="BE19" s="46">
        <f t="shared" si="21"/>
        <v>8</v>
      </c>
      <c r="BF19" s="46">
        <f t="shared" si="22"/>
        <v>1</v>
      </c>
      <c r="BG19" s="29"/>
      <c r="BH19" s="29"/>
    </row>
    <row r="20" spans="1:60" x14ac:dyDescent="0.3">
      <c r="A20" s="11">
        <v>2120</v>
      </c>
      <c r="B20" s="11" t="s">
        <v>19</v>
      </c>
      <c r="C20" s="11" t="s">
        <v>52</v>
      </c>
      <c r="D20" s="17" t="s">
        <v>24</v>
      </c>
      <c r="E20" s="39">
        <v>0.3</v>
      </c>
      <c r="F20" s="40">
        <v>1</v>
      </c>
      <c r="G20" s="12">
        <v>7840</v>
      </c>
      <c r="H20" s="12">
        <v>18000</v>
      </c>
      <c r="I20" s="12">
        <f t="shared" si="23"/>
        <v>2352</v>
      </c>
      <c r="J20" s="12">
        <f t="shared" si="24"/>
        <v>5400</v>
      </c>
      <c r="K20" s="41">
        <v>0.01</v>
      </c>
      <c r="L20" s="42">
        <v>550</v>
      </c>
      <c r="M20" s="42">
        <v>1</v>
      </c>
      <c r="N20" s="9">
        <f t="shared" si="0"/>
        <v>53.969659545428279</v>
      </c>
      <c r="O20" s="9">
        <f t="shared" si="1"/>
        <v>1.3280543469345442E-3</v>
      </c>
      <c r="P20" s="47">
        <v>3</v>
      </c>
      <c r="Q20" s="8">
        <f t="shared" si="2"/>
        <v>17799.263999999999</v>
      </c>
      <c r="R20" s="14">
        <f t="shared" si="3"/>
        <v>1.0008340283569641</v>
      </c>
      <c r="S20" s="35">
        <f t="shared" si="25"/>
        <v>2.7889141285625429E-2</v>
      </c>
      <c r="T20" s="15">
        <f t="shared" si="5"/>
        <v>23.638389927435544</v>
      </c>
      <c r="U20" s="7">
        <f t="shared" si="6"/>
        <v>1.0101010101010102</v>
      </c>
      <c r="V20" s="4">
        <f t="shared" si="7"/>
        <v>5.5</v>
      </c>
      <c r="W20" s="4">
        <f t="shared" si="8"/>
        <v>544.5</v>
      </c>
      <c r="X20" s="4">
        <f t="shared" si="26"/>
        <v>2178</v>
      </c>
      <c r="Y20" s="43">
        <v>0.05</v>
      </c>
      <c r="Z20" s="22">
        <f t="shared" si="64"/>
        <v>27.225000000000001</v>
      </c>
      <c r="AA20" s="4">
        <f t="shared" si="65"/>
        <v>517.27499999999998</v>
      </c>
      <c r="AB20" s="4">
        <f t="shared" si="27"/>
        <v>2069.1</v>
      </c>
      <c r="AC20" s="7">
        <f t="shared" si="28"/>
        <v>8.0480042240000351</v>
      </c>
      <c r="AD20" s="10">
        <f t="shared" si="11"/>
        <v>3.9808429049362961E-3</v>
      </c>
      <c r="AE20" s="10">
        <f t="shared" si="12"/>
        <v>9.5108495312323368E-5</v>
      </c>
      <c r="AF20" s="19">
        <v>2</v>
      </c>
      <c r="AG20" s="19">
        <v>100</v>
      </c>
      <c r="AH20" s="23">
        <v>0.1</v>
      </c>
      <c r="AI20" s="18">
        <f t="shared" si="13"/>
        <v>51.727499999999999</v>
      </c>
      <c r="AJ20" s="18">
        <f t="shared" si="14"/>
        <v>465.54749999999996</v>
      </c>
      <c r="AK20" s="24">
        <f t="shared" si="15"/>
        <v>1.0225832543787419E-3</v>
      </c>
      <c r="AL20" s="24">
        <f t="shared" si="16"/>
        <v>0.5</v>
      </c>
      <c r="AM20" s="24">
        <f t="shared" si="17"/>
        <v>0.1</v>
      </c>
      <c r="AN20" s="24">
        <f t="shared" si="36"/>
        <v>0.60102258325437874</v>
      </c>
      <c r="AO20" s="25">
        <f t="shared" si="37"/>
        <v>774.59235804282605</v>
      </c>
      <c r="AP20" s="26">
        <f t="shared" si="18"/>
        <v>1549.1847160856521</v>
      </c>
      <c r="AQ20" s="55">
        <v>2.2000000000000002</v>
      </c>
      <c r="AR20" s="26">
        <f t="shared" si="31"/>
        <v>704.17487094802357</v>
      </c>
      <c r="AT20" s="38">
        <f t="shared" si="19"/>
        <v>1.0008340283569641</v>
      </c>
      <c r="AU20" s="32"/>
      <c r="AV20" s="53">
        <f t="shared" si="32"/>
        <v>27.5</v>
      </c>
      <c r="AW20" s="32"/>
      <c r="AX20" s="30"/>
      <c r="AY20" s="30"/>
      <c r="AZ20" s="36"/>
      <c r="BA20" s="36"/>
      <c r="BB20" s="28">
        <f t="shared" si="20"/>
        <v>774.59235804282605</v>
      </c>
      <c r="BC20" s="32"/>
      <c r="BD20" s="32"/>
      <c r="BE20" s="46">
        <f t="shared" si="21"/>
        <v>0</v>
      </c>
      <c r="BF20" s="46">
        <f t="shared" si="22"/>
        <v>3</v>
      </c>
      <c r="BG20" s="29"/>
      <c r="BH20" s="29"/>
    </row>
    <row r="21" spans="1:60" x14ac:dyDescent="0.3">
      <c r="A21" s="11">
        <v>2125</v>
      </c>
      <c r="B21" s="11" t="s">
        <v>19</v>
      </c>
      <c r="C21" s="11" t="s">
        <v>53</v>
      </c>
      <c r="D21" s="17" t="s">
        <v>25</v>
      </c>
      <c r="E21" s="39">
        <v>0.5</v>
      </c>
      <c r="F21" s="40">
        <v>1</v>
      </c>
      <c r="G21" s="12">
        <v>7840</v>
      </c>
      <c r="H21" s="12">
        <v>18000</v>
      </c>
      <c r="I21" s="12">
        <f t="shared" si="23"/>
        <v>3920</v>
      </c>
      <c r="J21" s="12">
        <f t="shared" si="24"/>
        <v>9000</v>
      </c>
      <c r="K21" s="41">
        <v>0.01</v>
      </c>
      <c r="L21" s="42">
        <v>915</v>
      </c>
      <c r="M21" s="42">
        <v>1</v>
      </c>
      <c r="N21" s="9">
        <f t="shared" si="0"/>
        <v>5.9966288383809196</v>
      </c>
      <c r="O21" s="9">
        <f t="shared" si="1"/>
        <v>6.6402717346727208E-3</v>
      </c>
      <c r="P21" s="47">
        <v>1</v>
      </c>
      <c r="Q21" s="8">
        <f t="shared" si="2"/>
        <v>5933.0879999999997</v>
      </c>
      <c r="R21" s="14">
        <f t="shared" si="3"/>
        <v>1.0026570411590716</v>
      </c>
      <c r="S21" s="35">
        <f t="shared" si="25"/>
        <v>4.6481902142709045E-2</v>
      </c>
      <c r="T21" s="15">
        <f t="shared" si="5"/>
        <v>39.3973165457259</v>
      </c>
      <c r="U21" s="7">
        <f t="shared" si="6"/>
        <v>1.0101010101010102</v>
      </c>
      <c r="V21" s="4">
        <f t="shared" si="7"/>
        <v>9.15</v>
      </c>
      <c r="W21" s="4">
        <f t="shared" si="8"/>
        <v>905.85</v>
      </c>
      <c r="X21" s="4">
        <f t="shared" si="26"/>
        <v>3623.4</v>
      </c>
      <c r="Y21" s="43">
        <v>0.05</v>
      </c>
      <c r="Z21" s="22">
        <f t="shared" si="64"/>
        <v>45.292500000000004</v>
      </c>
      <c r="AA21" s="4">
        <f t="shared" si="65"/>
        <v>860.5575</v>
      </c>
      <c r="AB21" s="4">
        <f t="shared" si="27"/>
        <v>3442.23</v>
      </c>
      <c r="AC21" s="7">
        <f t="shared" si="28"/>
        <v>9.5361775959996322</v>
      </c>
      <c r="AD21" s="10">
        <f t="shared" si="11"/>
        <v>6.6226750145758368E-3</v>
      </c>
      <c r="AE21" s="10">
        <f t="shared" si="12"/>
        <v>2.6370991882053289E-4</v>
      </c>
      <c r="AF21" s="19">
        <v>2</v>
      </c>
      <c r="AG21" s="19">
        <v>100</v>
      </c>
      <c r="AH21" s="23">
        <v>0.1</v>
      </c>
      <c r="AI21" s="18">
        <f t="shared" si="13"/>
        <v>86.055750000000003</v>
      </c>
      <c r="AJ21" s="18">
        <f t="shared" si="14"/>
        <v>774.50175000000002</v>
      </c>
      <c r="AK21" s="24">
        <f t="shared" si="15"/>
        <v>1.7043054239645698E-3</v>
      </c>
      <c r="AL21" s="24">
        <f t="shared" si="16"/>
        <v>0.5</v>
      </c>
      <c r="AM21" s="24">
        <f t="shared" si="17"/>
        <v>0.1</v>
      </c>
      <c r="AN21" s="24">
        <f t="shared" si="36"/>
        <v>0.60170430542396458</v>
      </c>
      <c r="AO21" s="25">
        <f t="shared" si="37"/>
        <v>1287.1800035638457</v>
      </c>
      <c r="AP21" s="26">
        <f t="shared" si="18"/>
        <v>2574.3600071276915</v>
      </c>
      <c r="AQ21" s="55">
        <v>2.2000000000000002</v>
      </c>
      <c r="AR21" s="26">
        <f t="shared" si="31"/>
        <v>1170.163639603496</v>
      </c>
      <c r="AT21" s="38">
        <f t="shared" si="19"/>
        <v>1.0026570411590716</v>
      </c>
      <c r="AU21" s="32"/>
      <c r="AV21" s="53">
        <f t="shared" si="32"/>
        <v>45.75</v>
      </c>
      <c r="AW21" s="32"/>
      <c r="AX21" s="30"/>
      <c r="AY21" s="30"/>
      <c r="AZ21" s="36"/>
      <c r="BA21" s="36"/>
      <c r="BB21" s="28">
        <f t="shared" si="20"/>
        <v>1287.1800035638457</v>
      </c>
      <c r="BC21" s="32"/>
      <c r="BD21" s="32"/>
      <c r="BE21" s="46">
        <f t="shared" si="21"/>
        <v>0</v>
      </c>
      <c r="BF21" s="46">
        <f t="shared" si="22"/>
        <v>1</v>
      </c>
      <c r="BG21" s="29"/>
      <c r="BH21" s="29"/>
    </row>
    <row r="22" spans="1:60" x14ac:dyDescent="0.3">
      <c r="A22" s="11">
        <v>2140</v>
      </c>
      <c r="B22" s="11" t="s">
        <v>19</v>
      </c>
      <c r="C22" s="11" t="s">
        <v>54</v>
      </c>
      <c r="D22" s="17" t="s">
        <v>26</v>
      </c>
      <c r="E22" s="39">
        <v>0.7</v>
      </c>
      <c r="F22" s="40">
        <v>1</v>
      </c>
      <c r="G22" s="12">
        <v>7840</v>
      </c>
      <c r="H22" s="12">
        <v>18000</v>
      </c>
      <c r="I22" s="12">
        <f t="shared" si="23"/>
        <v>5488</v>
      </c>
      <c r="J22" s="12">
        <f t="shared" si="24"/>
        <v>12600</v>
      </c>
      <c r="K22" s="41">
        <v>0.01</v>
      </c>
      <c r="L22" s="42">
        <v>1280</v>
      </c>
      <c r="M22" s="42">
        <v>1</v>
      </c>
      <c r="N22" s="9">
        <f t="shared" si="0"/>
        <v>23.986515353523679</v>
      </c>
      <c r="O22" s="9">
        <f t="shared" si="1"/>
        <v>4.6481902142709048E-3</v>
      </c>
      <c r="P22" s="47">
        <v>2</v>
      </c>
      <c r="Q22" s="8">
        <f t="shared" si="2"/>
        <v>11866.175999999999</v>
      </c>
      <c r="R22" s="14">
        <f t="shared" si="3"/>
        <v>1.003440366972477</v>
      </c>
      <c r="S22" s="35">
        <f t="shared" si="25"/>
        <v>6.5074662999792671E-2</v>
      </c>
      <c r="T22" s="15">
        <f t="shared" si="5"/>
        <v>55.156243164016267</v>
      </c>
      <c r="U22" s="7">
        <f t="shared" si="6"/>
        <v>1.0101010101010102</v>
      </c>
      <c r="V22" s="4">
        <f t="shared" si="7"/>
        <v>12.8</v>
      </c>
      <c r="W22" s="4">
        <f t="shared" si="8"/>
        <v>1267.2</v>
      </c>
      <c r="X22" s="4">
        <f t="shared" si="26"/>
        <v>5068.8</v>
      </c>
      <c r="Y22" s="43">
        <v>0.05</v>
      </c>
      <c r="Z22" s="22">
        <f t="shared" si="64"/>
        <v>63.360000000000007</v>
      </c>
      <c r="AA22" s="4">
        <f t="shared" si="65"/>
        <v>1203.8399999999999</v>
      </c>
      <c r="AB22" s="4">
        <f t="shared" si="27"/>
        <v>4815.3599999999997</v>
      </c>
      <c r="AC22" s="7">
        <f t="shared" si="28"/>
        <v>10.665239743155132</v>
      </c>
      <c r="AD22" s="10">
        <f t="shared" si="11"/>
        <v>9.2645071242153793E-3</v>
      </c>
      <c r="AE22" s="10">
        <f t="shared" si="12"/>
        <v>5.1646795030207114E-4</v>
      </c>
      <c r="AF22" s="19">
        <v>2</v>
      </c>
      <c r="AG22" s="19">
        <v>100</v>
      </c>
      <c r="AH22" s="23">
        <v>0.1</v>
      </c>
      <c r="AI22" s="18">
        <f t="shared" si="13"/>
        <v>120.384</v>
      </c>
      <c r="AJ22" s="18">
        <f t="shared" si="14"/>
        <v>1083.4559999999999</v>
      </c>
      <c r="AK22" s="24">
        <f t="shared" si="15"/>
        <v>2.3860275935503978E-3</v>
      </c>
      <c r="AL22" s="24">
        <f t="shared" si="16"/>
        <v>0.5</v>
      </c>
      <c r="AM22" s="24">
        <f t="shared" si="17"/>
        <v>0.1</v>
      </c>
      <c r="AN22" s="24">
        <f t="shared" si="36"/>
        <v>0.60238602759355042</v>
      </c>
      <c r="AO22" s="25">
        <f t="shared" si="37"/>
        <v>1798.6074549707901</v>
      </c>
      <c r="AP22" s="26">
        <f t="shared" si="18"/>
        <v>3597.2149099415801</v>
      </c>
      <c r="AQ22" s="55">
        <v>2.2000000000000002</v>
      </c>
      <c r="AR22" s="26">
        <f t="shared" si="31"/>
        <v>1635.0976863370818</v>
      </c>
      <c r="AT22" s="38">
        <f t="shared" si="19"/>
        <v>1.003440366972477</v>
      </c>
      <c r="AU22" s="32"/>
      <c r="AV22" s="53">
        <f t="shared" si="32"/>
        <v>64</v>
      </c>
      <c r="AW22" s="32"/>
      <c r="AX22" s="30"/>
      <c r="AY22" s="30"/>
      <c r="AZ22" s="36"/>
      <c r="BA22" s="36"/>
      <c r="BB22" s="28">
        <f t="shared" si="20"/>
        <v>1798.6074549707901</v>
      </c>
      <c r="BC22" s="32"/>
      <c r="BD22" s="32"/>
      <c r="BE22" s="46">
        <f t="shared" si="21"/>
        <v>0</v>
      </c>
      <c r="BF22" s="46">
        <f t="shared" si="22"/>
        <v>2</v>
      </c>
      <c r="BG22" s="29"/>
      <c r="BH22" s="29"/>
    </row>
    <row r="23" spans="1:60" x14ac:dyDescent="0.3">
      <c r="A23" s="11">
        <v>2145</v>
      </c>
      <c r="B23" s="11" t="s">
        <v>19</v>
      </c>
      <c r="C23" s="11" t="s">
        <v>55</v>
      </c>
      <c r="D23" s="17" t="s">
        <v>27</v>
      </c>
      <c r="E23" s="39">
        <v>1</v>
      </c>
      <c r="F23" s="40">
        <v>1</v>
      </c>
      <c r="G23" s="12">
        <v>7840</v>
      </c>
      <c r="H23" s="12">
        <v>18000</v>
      </c>
      <c r="I23" s="12">
        <f t="shared" si="23"/>
        <v>7840</v>
      </c>
      <c r="J23" s="12">
        <f t="shared" si="24"/>
        <v>18000</v>
      </c>
      <c r="K23" s="41">
        <v>0.01</v>
      </c>
      <c r="L23" s="42">
        <v>1830</v>
      </c>
      <c r="M23" s="42">
        <v>1</v>
      </c>
      <c r="N23" s="9">
        <f t="shared" si="0"/>
        <v>53.969659545428279</v>
      </c>
      <c r="O23" s="9">
        <f t="shared" si="1"/>
        <v>4.4268478231151466E-3</v>
      </c>
      <c r="P23" s="47">
        <v>3</v>
      </c>
      <c r="Q23" s="8">
        <f t="shared" si="2"/>
        <v>17799.263999999999</v>
      </c>
      <c r="R23" s="14">
        <f t="shared" si="3"/>
        <v>1.0026570411590716</v>
      </c>
      <c r="S23" s="35">
        <f t="shared" si="25"/>
        <v>9.2963804285418075E-2</v>
      </c>
      <c r="T23" s="15">
        <f t="shared" si="5"/>
        <v>78.7946330914518</v>
      </c>
      <c r="U23" s="7">
        <f t="shared" si="6"/>
        <v>1.0101010101010102</v>
      </c>
      <c r="V23" s="4">
        <f t="shared" si="7"/>
        <v>18.3</v>
      </c>
      <c r="W23" s="4">
        <f t="shared" si="8"/>
        <v>1811.7</v>
      </c>
      <c r="X23" s="4">
        <f t="shared" si="26"/>
        <v>7246.8</v>
      </c>
      <c r="Y23" s="43">
        <v>0.05</v>
      </c>
      <c r="Z23" s="22">
        <f t="shared" si="64"/>
        <v>90.585000000000008</v>
      </c>
      <c r="AA23" s="4">
        <f t="shared" si="65"/>
        <v>1721.115</v>
      </c>
      <c r="AB23" s="4">
        <f t="shared" si="27"/>
        <v>6884.46</v>
      </c>
      <c r="AC23" s="7">
        <f t="shared" si="28"/>
        <v>12.014830888735821</v>
      </c>
      <c r="AD23" s="10">
        <f t="shared" si="11"/>
        <v>1.3245350029151674E-2</v>
      </c>
      <c r="AE23" s="10">
        <f t="shared" si="12"/>
        <v>1.0548396752821316E-3</v>
      </c>
      <c r="AF23" s="19">
        <v>2</v>
      </c>
      <c r="AG23" s="19">
        <v>100</v>
      </c>
      <c r="AH23" s="23">
        <v>0.1</v>
      </c>
      <c r="AI23" s="18">
        <f t="shared" si="13"/>
        <v>172.11150000000001</v>
      </c>
      <c r="AJ23" s="18">
        <f t="shared" si="14"/>
        <v>1549.0035</v>
      </c>
      <c r="AK23" s="24">
        <f t="shared" si="15"/>
        <v>3.4086108479291391E-3</v>
      </c>
      <c r="AL23" s="24">
        <f t="shared" si="16"/>
        <v>0.5</v>
      </c>
      <c r="AM23" s="24">
        <f t="shared" si="17"/>
        <v>0.1</v>
      </c>
      <c r="AN23" s="24">
        <f t="shared" si="36"/>
        <v>0.60340861084792907</v>
      </c>
      <c r="AO23" s="25">
        <f t="shared" si="37"/>
        <v>2567.0888219896146</v>
      </c>
      <c r="AP23" s="26">
        <f t="shared" si="18"/>
        <v>5134.1776439792293</v>
      </c>
      <c r="AQ23" s="55">
        <v>2.2000000000000002</v>
      </c>
      <c r="AR23" s="26">
        <f t="shared" si="31"/>
        <v>2333.7171108996495</v>
      </c>
      <c r="AT23" s="38">
        <f t="shared" si="19"/>
        <v>1.0026570411590716</v>
      </c>
      <c r="AU23" s="32"/>
      <c r="AV23" s="53">
        <f t="shared" si="32"/>
        <v>91.5</v>
      </c>
      <c r="AW23" s="32"/>
      <c r="AX23" s="30"/>
      <c r="AY23" s="30"/>
      <c r="AZ23" s="36"/>
      <c r="BA23" s="36"/>
      <c r="BB23" s="28">
        <f t="shared" si="20"/>
        <v>2567.0888219896146</v>
      </c>
      <c r="BC23" s="32"/>
      <c r="BD23" s="32"/>
      <c r="BE23" s="46">
        <f t="shared" si="21"/>
        <v>0</v>
      </c>
      <c r="BF23" s="46">
        <f t="shared" si="22"/>
        <v>3</v>
      </c>
      <c r="BG23" s="29"/>
      <c r="BH23" s="29"/>
    </row>
    <row r="25" spans="1:60" x14ac:dyDescent="0.3">
      <c r="AF25" s="21"/>
      <c r="AG25" s="21"/>
      <c r="AH25" s="21"/>
    </row>
    <row r="26" spans="1:60" x14ac:dyDescent="0.3">
      <c r="AF26" s="21"/>
      <c r="AG26" s="21"/>
      <c r="AH26" s="21"/>
    </row>
  </sheetData>
  <autoFilter ref="A3:AH14">
    <sortState ref="A2:R8">
      <sortCondition ref="B1:B7"/>
    </sortState>
  </autoFilter>
  <mergeCells count="7">
    <mergeCell ref="AT2:BH2"/>
    <mergeCell ref="AF2:AR2"/>
    <mergeCell ref="K2:M2"/>
    <mergeCell ref="R2:T2"/>
    <mergeCell ref="N2:Q2"/>
    <mergeCell ref="E2:J2"/>
    <mergeCell ref="U2:AE2"/>
  </mergeCells>
  <conditionalFormatting sqref="M4:M10 M12:M15 M22:M23 M17:M20">
    <cfRule type="expression" dxfId="3" priority="308">
      <formula>$M4&gt;$R4</formula>
    </cfRule>
  </conditionalFormatting>
  <conditionalFormatting sqref="M16">
    <cfRule type="expression" dxfId="2" priority="227">
      <formula>$M16&gt;$R16</formula>
    </cfRule>
  </conditionalFormatting>
  <conditionalFormatting sqref="M11">
    <cfRule type="expression" dxfId="1" priority="141">
      <formula>$M11&gt;$R11</formula>
    </cfRule>
  </conditionalFormatting>
  <conditionalFormatting sqref="M21">
    <cfRule type="expression" dxfId="0" priority="85">
      <formula>$M21&gt;$R21</formula>
    </cfRule>
  </conditionalFormatting>
  <conditionalFormatting sqref="G21:H21">
    <cfRule type="dataBar" priority="16">
      <dataBar>
        <cfvo type="min"/>
        <cfvo type="max"/>
        <color rgb="FFFFB628"/>
      </dataBar>
      <extLst>
        <ext xmlns:x14="http://schemas.microsoft.com/office/spreadsheetml/2009/9/main" uri="{B025F937-C7B1-47D3-B67F-A62EFF666E3E}">
          <x14:id>{4C84866B-6652-47E7-A7C2-BE7067711197}</x14:id>
        </ext>
      </extLst>
    </cfRule>
  </conditionalFormatting>
  <conditionalFormatting sqref="H21">
    <cfRule type="dataBar" priority="14">
      <dataBar>
        <cfvo type="min"/>
        <cfvo type="max"/>
        <color rgb="FFFFB628"/>
      </dataBar>
      <extLst>
        <ext xmlns:x14="http://schemas.microsoft.com/office/spreadsheetml/2009/9/main" uri="{B025F937-C7B1-47D3-B67F-A62EFF666E3E}">
          <x14:id>{01F51D06-937C-4839-9F6E-4B99E8A8E2A7}</x14:id>
        </ext>
      </extLst>
    </cfRule>
  </conditionalFormatting>
  <conditionalFormatting sqref="G21">
    <cfRule type="dataBar" priority="15">
      <dataBar>
        <cfvo type="min"/>
        <cfvo type="max"/>
        <color rgb="FFFFB628"/>
      </dataBar>
      <extLst>
        <ext xmlns:x14="http://schemas.microsoft.com/office/spreadsheetml/2009/9/main" uri="{B025F937-C7B1-47D3-B67F-A62EFF666E3E}">
          <x14:id>{88ABAC01-6008-4CF8-9848-3C7A622A3F46}</x14:id>
        </ext>
      </extLst>
    </cfRule>
  </conditionalFormatting>
  <conditionalFormatting sqref="H6:H7">
    <cfRule type="dataBar" priority="2">
      <dataBar>
        <cfvo type="min"/>
        <cfvo type="max"/>
        <color rgb="FFFFB628"/>
      </dataBar>
      <extLst>
        <ext xmlns:x14="http://schemas.microsoft.com/office/spreadsheetml/2009/9/main" uri="{B025F937-C7B1-47D3-B67F-A62EFF666E3E}">
          <x14:id>{CAE1337A-3F07-4A8A-9D8C-4CD3F7496EC1}</x14:id>
        </ext>
      </extLst>
    </cfRule>
  </conditionalFormatting>
  <conditionalFormatting sqref="G6:H7">
    <cfRule type="dataBar" priority="3">
      <dataBar>
        <cfvo type="min"/>
        <cfvo type="max"/>
        <color rgb="FFFFB628"/>
      </dataBar>
      <extLst>
        <ext xmlns:x14="http://schemas.microsoft.com/office/spreadsheetml/2009/9/main" uri="{B025F937-C7B1-47D3-B67F-A62EFF666E3E}">
          <x14:id>{89C6228C-D61E-440B-A64B-517561662667}</x14:id>
        </ext>
      </extLst>
    </cfRule>
  </conditionalFormatting>
  <conditionalFormatting sqref="G6:G7">
    <cfRule type="dataBar" priority="4">
      <dataBar>
        <cfvo type="min"/>
        <cfvo type="max"/>
        <color rgb="FFFFB628"/>
      </dataBar>
      <extLst>
        <ext xmlns:x14="http://schemas.microsoft.com/office/spreadsheetml/2009/9/main" uri="{B025F937-C7B1-47D3-B67F-A62EFF666E3E}">
          <x14:id>{6FC1E0D4-4619-4BAC-9A7C-398FC32C10AB}</x14:id>
        </ext>
      </extLst>
    </cfRule>
  </conditionalFormatting>
  <conditionalFormatting sqref="H4:H5">
    <cfRule type="dataBar" priority="5">
      <dataBar>
        <cfvo type="min"/>
        <cfvo type="max"/>
        <color rgb="FFFFB628"/>
      </dataBar>
      <extLst>
        <ext xmlns:x14="http://schemas.microsoft.com/office/spreadsheetml/2009/9/main" uri="{B025F937-C7B1-47D3-B67F-A62EFF666E3E}">
          <x14:id>{CD143CE6-5918-46B4-9E71-E2FB951CC92B}</x14:id>
        </ext>
      </extLst>
    </cfRule>
  </conditionalFormatting>
  <conditionalFormatting sqref="G4:H5">
    <cfRule type="dataBar" priority="6">
      <dataBar>
        <cfvo type="min"/>
        <cfvo type="max"/>
        <color rgb="FFFFB628"/>
      </dataBar>
      <extLst>
        <ext xmlns:x14="http://schemas.microsoft.com/office/spreadsheetml/2009/9/main" uri="{B025F937-C7B1-47D3-B67F-A62EFF666E3E}">
          <x14:id>{711EA449-FE22-4BEF-BC0C-53F5C80029B5}</x14:id>
        </ext>
      </extLst>
    </cfRule>
  </conditionalFormatting>
  <conditionalFormatting sqref="G4:G5">
    <cfRule type="dataBar" priority="7">
      <dataBar>
        <cfvo type="min"/>
        <cfvo type="max"/>
        <color rgb="FFFFB628"/>
      </dataBar>
      <extLst>
        <ext xmlns:x14="http://schemas.microsoft.com/office/spreadsheetml/2009/9/main" uri="{B025F937-C7B1-47D3-B67F-A62EFF666E3E}">
          <x14:id>{E6E0DF9F-658D-4512-9882-44A1343E5EFF}</x14:id>
        </ext>
      </extLst>
    </cfRule>
  </conditionalFormatting>
  <conditionalFormatting sqref="H22:H23 H20">
    <cfRule type="dataBar" priority="349">
      <dataBar>
        <cfvo type="min"/>
        <cfvo type="max"/>
        <color rgb="FFFFB628"/>
      </dataBar>
      <extLst>
        <ext xmlns:x14="http://schemas.microsoft.com/office/spreadsheetml/2009/9/main" uri="{B025F937-C7B1-47D3-B67F-A62EFF666E3E}">
          <x14:id>{5DCBAD4C-E17E-4F99-AF97-4F9F0755F8AB}</x14:id>
        </ext>
      </extLst>
    </cfRule>
  </conditionalFormatting>
  <conditionalFormatting sqref="G22:H23 G20:H20">
    <cfRule type="dataBar" priority="351">
      <dataBar>
        <cfvo type="min"/>
        <cfvo type="max"/>
        <color rgb="FFFFB628"/>
      </dataBar>
      <extLst>
        <ext xmlns:x14="http://schemas.microsoft.com/office/spreadsheetml/2009/9/main" uri="{B025F937-C7B1-47D3-B67F-A62EFF666E3E}">
          <x14:id>{90C9DA3A-D27F-4E27-8A43-CB61000EB31E}</x14:id>
        </ext>
      </extLst>
    </cfRule>
  </conditionalFormatting>
  <conditionalFormatting sqref="G22:G23 G20">
    <cfRule type="dataBar" priority="353">
      <dataBar>
        <cfvo type="min"/>
        <cfvo type="max"/>
        <color rgb="FFFFB628"/>
      </dataBar>
      <extLst>
        <ext xmlns:x14="http://schemas.microsoft.com/office/spreadsheetml/2009/9/main" uri="{B025F937-C7B1-47D3-B67F-A62EFF666E3E}">
          <x14:id>{B51514C4-E801-4324-8583-9636E85F8271}</x14:id>
        </ext>
      </extLst>
    </cfRule>
  </conditionalFormatting>
  <conditionalFormatting sqref="G8:H19">
    <cfRule type="dataBar" priority="397">
      <dataBar>
        <cfvo type="min"/>
        <cfvo type="max"/>
        <color rgb="FFFFB628"/>
      </dataBar>
      <extLst>
        <ext xmlns:x14="http://schemas.microsoft.com/office/spreadsheetml/2009/9/main" uri="{B025F937-C7B1-47D3-B67F-A62EFF666E3E}">
          <x14:id>{694BA79F-FCB1-4F79-BEA5-908B49BC6DD8}</x14:id>
        </ext>
      </extLst>
    </cfRule>
  </conditionalFormatting>
  <conditionalFormatting sqref="H8:H19">
    <cfRule type="dataBar" priority="398">
      <dataBar>
        <cfvo type="min"/>
        <cfvo type="max"/>
        <color rgb="FFFFB628"/>
      </dataBar>
      <extLst>
        <ext xmlns:x14="http://schemas.microsoft.com/office/spreadsheetml/2009/9/main" uri="{B025F937-C7B1-47D3-B67F-A62EFF666E3E}">
          <x14:id>{624E7364-0C20-42D6-A73B-A70AE650E2E6}</x14:id>
        </ext>
      </extLst>
    </cfRule>
  </conditionalFormatting>
  <conditionalFormatting sqref="G8:G19">
    <cfRule type="dataBar" priority="399">
      <dataBar>
        <cfvo type="min"/>
        <cfvo type="max"/>
        <color rgb="FFFFB628"/>
      </dataBar>
      <extLst>
        <ext xmlns:x14="http://schemas.microsoft.com/office/spreadsheetml/2009/9/main" uri="{B025F937-C7B1-47D3-B67F-A62EFF666E3E}">
          <x14:id>{FB5570E3-42EA-4E24-BBE9-9CE3057215F3}</x14:id>
        </ext>
      </extLst>
    </cfRule>
  </conditionalFormatting>
  <conditionalFormatting sqref="N4:N23">
    <cfRule type="dataBar" priority="400">
      <dataBar>
        <cfvo type="min"/>
        <cfvo type="max"/>
        <color rgb="FFFF555A"/>
      </dataBar>
      <extLst>
        <ext xmlns:x14="http://schemas.microsoft.com/office/spreadsheetml/2009/9/main" uri="{B025F937-C7B1-47D3-B67F-A62EFF666E3E}">
          <x14:id>{54235202-3834-42CA-BF50-6FA05C4CC01D}</x14:id>
        </ext>
      </extLst>
    </cfRule>
  </conditionalFormatting>
  <conditionalFormatting sqref="O4:O23">
    <cfRule type="dataBar" priority="402">
      <dataBar>
        <cfvo type="min"/>
        <cfvo type="max"/>
        <color rgb="FFFF555A"/>
      </dataBar>
      <extLst>
        <ext xmlns:x14="http://schemas.microsoft.com/office/spreadsheetml/2009/9/main" uri="{B025F937-C7B1-47D3-B67F-A62EFF666E3E}">
          <x14:id>{E81A0857-AC68-4E26-974E-39619BF0BAE0}</x14:id>
        </ext>
      </extLst>
    </cfRule>
  </conditionalFormatting>
  <conditionalFormatting sqref="L4:L23">
    <cfRule type="dataBar" priority="404">
      <dataBar>
        <cfvo type="min"/>
        <cfvo type="max"/>
        <color rgb="FF63C384"/>
      </dataBar>
      <extLst>
        <ext xmlns:x14="http://schemas.microsoft.com/office/spreadsheetml/2009/9/main" uri="{B025F937-C7B1-47D3-B67F-A62EFF666E3E}">
          <x14:id>{39392657-920D-4DFC-9A9F-04D89D7F4104}</x14:id>
        </ext>
      </extLst>
    </cfRule>
  </conditionalFormatting>
  <conditionalFormatting sqref="M4:M23">
    <cfRule type="dataBar" priority="406">
      <dataBar>
        <cfvo type="min"/>
        <cfvo type="max"/>
        <color rgb="FF63C384"/>
      </dataBar>
      <extLst>
        <ext xmlns:x14="http://schemas.microsoft.com/office/spreadsheetml/2009/9/main" uri="{B025F937-C7B1-47D3-B67F-A62EFF666E3E}">
          <x14:id>{F63CEA20-9FA3-4213-BAAE-B9F205064740}</x14:id>
        </ext>
      </extLst>
    </cfRule>
  </conditionalFormatting>
  <conditionalFormatting sqref="J4:J23">
    <cfRule type="dataBar" priority="408">
      <dataBar>
        <cfvo type="min"/>
        <cfvo type="max"/>
        <color rgb="FFFFB628"/>
      </dataBar>
      <extLst>
        <ext xmlns:x14="http://schemas.microsoft.com/office/spreadsheetml/2009/9/main" uri="{B025F937-C7B1-47D3-B67F-A62EFF666E3E}">
          <x14:id>{DD2F09A9-2340-4F37-B2D3-D59ED5500D41}</x14:id>
        </ext>
      </extLst>
    </cfRule>
  </conditionalFormatting>
  <conditionalFormatting sqref="I4:J23">
    <cfRule type="dataBar" priority="410">
      <dataBar>
        <cfvo type="min"/>
        <cfvo type="max"/>
        <color rgb="FFFFB628"/>
      </dataBar>
      <extLst>
        <ext xmlns:x14="http://schemas.microsoft.com/office/spreadsheetml/2009/9/main" uri="{B025F937-C7B1-47D3-B67F-A62EFF666E3E}">
          <x14:id>{9C13B711-18A3-439B-AEEE-0A88837D9CE0}</x14:id>
        </ext>
      </extLst>
    </cfRule>
  </conditionalFormatting>
  <conditionalFormatting sqref="I4:I23">
    <cfRule type="dataBar" priority="412">
      <dataBar>
        <cfvo type="min"/>
        <cfvo type="max"/>
        <color rgb="FFFFB628"/>
      </dataBar>
      <extLst>
        <ext xmlns:x14="http://schemas.microsoft.com/office/spreadsheetml/2009/9/main" uri="{B025F937-C7B1-47D3-B67F-A62EFF666E3E}">
          <x14:id>{2ABB5EF9-6F9E-4747-8EDF-1E902815AC5D}</x14:id>
        </ext>
      </extLst>
    </cfRule>
  </conditionalFormatting>
  <conditionalFormatting sqref="K4:K23">
    <cfRule type="dataBar" priority="414">
      <dataBar>
        <cfvo type="min"/>
        <cfvo type="max"/>
        <color rgb="FF63C384"/>
      </dataBar>
      <extLst>
        <ext xmlns:x14="http://schemas.microsoft.com/office/spreadsheetml/2009/9/main" uri="{B025F937-C7B1-47D3-B67F-A62EFF666E3E}">
          <x14:id>{4B8A8503-1ABE-420B-AFD5-956BADDA484C}</x14:id>
        </ext>
      </extLst>
    </cfRule>
  </conditionalFormatting>
  <conditionalFormatting sqref="R4:R23">
    <cfRule type="dataBar" priority="416">
      <dataBar>
        <cfvo type="min"/>
        <cfvo type="max"/>
        <color rgb="FFFFB628"/>
      </dataBar>
      <extLst>
        <ext xmlns:x14="http://schemas.microsoft.com/office/spreadsheetml/2009/9/main" uri="{B025F937-C7B1-47D3-B67F-A62EFF666E3E}">
          <x14:id>{E91E505F-4F82-4EB4-88E9-E4FC229920E6}</x14:id>
        </ext>
      </extLst>
    </cfRule>
  </conditionalFormatting>
  <pageMargins left="0.7" right="0.7" top="0.75" bottom="0.75" header="0.3" footer="0.3"/>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dataBar" id="{4C84866B-6652-47E7-A7C2-BE7067711197}">
            <x14:dataBar minLength="0" maxLength="100" gradient="0">
              <x14:cfvo type="autoMin"/>
              <x14:cfvo type="autoMax"/>
              <x14:negativeFillColor rgb="FFFF0000"/>
              <x14:axisColor rgb="FF000000"/>
            </x14:dataBar>
          </x14:cfRule>
          <xm:sqref>G21:H21</xm:sqref>
        </x14:conditionalFormatting>
        <x14:conditionalFormatting xmlns:xm="http://schemas.microsoft.com/office/excel/2006/main">
          <x14:cfRule type="dataBar" id="{01F51D06-937C-4839-9F6E-4B99E8A8E2A7}">
            <x14:dataBar minLength="0" maxLength="100" gradient="0">
              <x14:cfvo type="autoMin"/>
              <x14:cfvo type="autoMax"/>
              <x14:negativeFillColor rgb="FFFF0000"/>
              <x14:axisColor rgb="FF000000"/>
            </x14:dataBar>
          </x14:cfRule>
          <xm:sqref>H21</xm:sqref>
        </x14:conditionalFormatting>
        <x14:conditionalFormatting xmlns:xm="http://schemas.microsoft.com/office/excel/2006/main">
          <x14:cfRule type="dataBar" id="{88ABAC01-6008-4CF8-9848-3C7A622A3F46}">
            <x14:dataBar minLength="0" maxLength="100" gradient="0">
              <x14:cfvo type="autoMin"/>
              <x14:cfvo type="autoMax"/>
              <x14:negativeFillColor rgb="FFFF0000"/>
              <x14:axisColor rgb="FF000000"/>
            </x14:dataBar>
          </x14:cfRule>
          <xm:sqref>G21</xm:sqref>
        </x14:conditionalFormatting>
        <x14:conditionalFormatting xmlns:xm="http://schemas.microsoft.com/office/excel/2006/main">
          <x14:cfRule type="dataBar" id="{CAE1337A-3F07-4A8A-9D8C-4CD3F7496EC1}">
            <x14:dataBar minLength="0" maxLength="100" gradient="0">
              <x14:cfvo type="autoMin"/>
              <x14:cfvo type="autoMax"/>
              <x14:negativeFillColor rgb="FFFF0000"/>
              <x14:axisColor rgb="FF000000"/>
            </x14:dataBar>
          </x14:cfRule>
          <xm:sqref>H6:H7</xm:sqref>
        </x14:conditionalFormatting>
        <x14:conditionalFormatting xmlns:xm="http://schemas.microsoft.com/office/excel/2006/main">
          <x14:cfRule type="dataBar" id="{89C6228C-D61E-440B-A64B-517561662667}">
            <x14:dataBar minLength="0" maxLength="100" gradient="0">
              <x14:cfvo type="autoMin"/>
              <x14:cfvo type="autoMax"/>
              <x14:negativeFillColor rgb="FFFF0000"/>
              <x14:axisColor rgb="FF000000"/>
            </x14:dataBar>
          </x14:cfRule>
          <xm:sqref>G6:H7</xm:sqref>
        </x14:conditionalFormatting>
        <x14:conditionalFormatting xmlns:xm="http://schemas.microsoft.com/office/excel/2006/main">
          <x14:cfRule type="dataBar" id="{6FC1E0D4-4619-4BAC-9A7C-398FC32C10AB}">
            <x14:dataBar minLength="0" maxLength="100" gradient="0">
              <x14:cfvo type="autoMin"/>
              <x14:cfvo type="autoMax"/>
              <x14:negativeFillColor rgb="FFFF0000"/>
              <x14:axisColor rgb="FF000000"/>
            </x14:dataBar>
          </x14:cfRule>
          <xm:sqref>G6:G7</xm:sqref>
        </x14:conditionalFormatting>
        <x14:conditionalFormatting xmlns:xm="http://schemas.microsoft.com/office/excel/2006/main">
          <x14:cfRule type="dataBar" id="{CD143CE6-5918-46B4-9E71-E2FB951CC92B}">
            <x14:dataBar minLength="0" maxLength="100" gradient="0">
              <x14:cfvo type="autoMin"/>
              <x14:cfvo type="autoMax"/>
              <x14:negativeFillColor rgb="FFFF0000"/>
              <x14:axisColor rgb="FF000000"/>
            </x14:dataBar>
          </x14:cfRule>
          <xm:sqref>H4:H5</xm:sqref>
        </x14:conditionalFormatting>
        <x14:conditionalFormatting xmlns:xm="http://schemas.microsoft.com/office/excel/2006/main">
          <x14:cfRule type="dataBar" id="{711EA449-FE22-4BEF-BC0C-53F5C80029B5}">
            <x14:dataBar minLength="0" maxLength="100" gradient="0">
              <x14:cfvo type="autoMin"/>
              <x14:cfvo type="autoMax"/>
              <x14:negativeFillColor rgb="FFFF0000"/>
              <x14:axisColor rgb="FF000000"/>
            </x14:dataBar>
          </x14:cfRule>
          <xm:sqref>G4:H5</xm:sqref>
        </x14:conditionalFormatting>
        <x14:conditionalFormatting xmlns:xm="http://schemas.microsoft.com/office/excel/2006/main">
          <x14:cfRule type="dataBar" id="{E6E0DF9F-658D-4512-9882-44A1343E5EFF}">
            <x14:dataBar minLength="0" maxLength="100" gradient="0">
              <x14:cfvo type="autoMin"/>
              <x14:cfvo type="autoMax"/>
              <x14:negativeFillColor rgb="FFFF0000"/>
              <x14:axisColor rgb="FF000000"/>
            </x14:dataBar>
          </x14:cfRule>
          <xm:sqref>G4:G5</xm:sqref>
        </x14:conditionalFormatting>
        <x14:conditionalFormatting xmlns:xm="http://schemas.microsoft.com/office/excel/2006/main">
          <x14:cfRule type="dataBar" id="{5DCBAD4C-E17E-4F99-AF97-4F9F0755F8AB}">
            <x14:dataBar minLength="0" maxLength="100" gradient="0">
              <x14:cfvo type="autoMin"/>
              <x14:cfvo type="autoMax"/>
              <x14:negativeFillColor rgb="FFFF0000"/>
              <x14:axisColor rgb="FF000000"/>
            </x14:dataBar>
          </x14:cfRule>
          <xm:sqref>H22:H23 H20</xm:sqref>
        </x14:conditionalFormatting>
        <x14:conditionalFormatting xmlns:xm="http://schemas.microsoft.com/office/excel/2006/main">
          <x14:cfRule type="dataBar" id="{90C9DA3A-D27F-4E27-8A43-CB61000EB31E}">
            <x14:dataBar minLength="0" maxLength="100" gradient="0">
              <x14:cfvo type="autoMin"/>
              <x14:cfvo type="autoMax"/>
              <x14:negativeFillColor rgb="FFFF0000"/>
              <x14:axisColor rgb="FF000000"/>
            </x14:dataBar>
          </x14:cfRule>
          <xm:sqref>G22:H23 G20:H20</xm:sqref>
        </x14:conditionalFormatting>
        <x14:conditionalFormatting xmlns:xm="http://schemas.microsoft.com/office/excel/2006/main">
          <x14:cfRule type="dataBar" id="{B51514C4-E801-4324-8583-9636E85F8271}">
            <x14:dataBar minLength="0" maxLength="100" gradient="0">
              <x14:cfvo type="autoMin"/>
              <x14:cfvo type="autoMax"/>
              <x14:negativeFillColor rgb="FFFF0000"/>
              <x14:axisColor rgb="FF000000"/>
            </x14:dataBar>
          </x14:cfRule>
          <xm:sqref>G22:G23 G20</xm:sqref>
        </x14:conditionalFormatting>
        <x14:conditionalFormatting xmlns:xm="http://schemas.microsoft.com/office/excel/2006/main">
          <x14:cfRule type="dataBar" id="{694BA79F-FCB1-4F79-BEA5-908B49BC6DD8}">
            <x14:dataBar minLength="0" maxLength="100" gradient="0">
              <x14:cfvo type="autoMin"/>
              <x14:cfvo type="autoMax"/>
              <x14:negativeFillColor rgb="FFFF0000"/>
              <x14:axisColor rgb="FF000000"/>
            </x14:dataBar>
          </x14:cfRule>
          <xm:sqref>G8:H19</xm:sqref>
        </x14:conditionalFormatting>
        <x14:conditionalFormatting xmlns:xm="http://schemas.microsoft.com/office/excel/2006/main">
          <x14:cfRule type="dataBar" id="{624E7364-0C20-42D6-A73B-A70AE650E2E6}">
            <x14:dataBar minLength="0" maxLength="100" gradient="0">
              <x14:cfvo type="autoMin"/>
              <x14:cfvo type="autoMax"/>
              <x14:negativeFillColor rgb="FFFF0000"/>
              <x14:axisColor rgb="FF000000"/>
            </x14:dataBar>
          </x14:cfRule>
          <xm:sqref>H8:H19</xm:sqref>
        </x14:conditionalFormatting>
        <x14:conditionalFormatting xmlns:xm="http://schemas.microsoft.com/office/excel/2006/main">
          <x14:cfRule type="dataBar" id="{FB5570E3-42EA-4E24-BBE9-9CE3057215F3}">
            <x14:dataBar minLength="0" maxLength="100" gradient="0">
              <x14:cfvo type="autoMin"/>
              <x14:cfvo type="autoMax"/>
              <x14:negativeFillColor rgb="FFFF0000"/>
              <x14:axisColor rgb="FF000000"/>
            </x14:dataBar>
          </x14:cfRule>
          <xm:sqref>G8:G19</xm:sqref>
        </x14:conditionalFormatting>
        <x14:conditionalFormatting xmlns:xm="http://schemas.microsoft.com/office/excel/2006/main">
          <x14:cfRule type="dataBar" id="{54235202-3834-42CA-BF50-6FA05C4CC01D}">
            <x14:dataBar minLength="0" maxLength="100" gradient="0">
              <x14:cfvo type="autoMin"/>
              <x14:cfvo type="autoMax"/>
              <x14:negativeFillColor rgb="FFFF0000"/>
              <x14:axisColor rgb="FF000000"/>
            </x14:dataBar>
          </x14:cfRule>
          <xm:sqref>N4:N23</xm:sqref>
        </x14:conditionalFormatting>
        <x14:conditionalFormatting xmlns:xm="http://schemas.microsoft.com/office/excel/2006/main">
          <x14:cfRule type="dataBar" id="{E81A0857-AC68-4E26-974E-39619BF0BAE0}">
            <x14:dataBar minLength="0" maxLength="100" gradient="0">
              <x14:cfvo type="autoMin"/>
              <x14:cfvo type="autoMax"/>
              <x14:negativeFillColor rgb="FFFF0000"/>
              <x14:axisColor rgb="FF000000"/>
            </x14:dataBar>
          </x14:cfRule>
          <xm:sqref>O4:O23</xm:sqref>
        </x14:conditionalFormatting>
        <x14:conditionalFormatting xmlns:xm="http://schemas.microsoft.com/office/excel/2006/main">
          <x14:cfRule type="dataBar" id="{39392657-920D-4DFC-9A9F-04D89D7F4104}">
            <x14:dataBar minLength="0" maxLength="100" gradient="0">
              <x14:cfvo type="autoMin"/>
              <x14:cfvo type="autoMax"/>
              <x14:negativeFillColor rgb="FFFF0000"/>
              <x14:axisColor rgb="FF000000"/>
            </x14:dataBar>
          </x14:cfRule>
          <xm:sqref>L4:L23</xm:sqref>
        </x14:conditionalFormatting>
        <x14:conditionalFormatting xmlns:xm="http://schemas.microsoft.com/office/excel/2006/main">
          <x14:cfRule type="dataBar" id="{F63CEA20-9FA3-4213-BAAE-B9F205064740}">
            <x14:dataBar minLength="0" maxLength="100" gradient="0">
              <x14:cfvo type="autoMin"/>
              <x14:cfvo type="autoMax"/>
              <x14:negativeFillColor rgb="FFFF0000"/>
              <x14:axisColor rgb="FF000000"/>
            </x14:dataBar>
          </x14:cfRule>
          <xm:sqref>M4:M23</xm:sqref>
        </x14:conditionalFormatting>
        <x14:conditionalFormatting xmlns:xm="http://schemas.microsoft.com/office/excel/2006/main">
          <x14:cfRule type="dataBar" id="{DD2F09A9-2340-4F37-B2D3-D59ED5500D41}">
            <x14:dataBar minLength="0" maxLength="100" gradient="0">
              <x14:cfvo type="autoMin"/>
              <x14:cfvo type="autoMax"/>
              <x14:negativeFillColor rgb="FFFF0000"/>
              <x14:axisColor rgb="FF000000"/>
            </x14:dataBar>
          </x14:cfRule>
          <xm:sqref>J4:J23</xm:sqref>
        </x14:conditionalFormatting>
        <x14:conditionalFormatting xmlns:xm="http://schemas.microsoft.com/office/excel/2006/main">
          <x14:cfRule type="dataBar" id="{9C13B711-18A3-439B-AEEE-0A88837D9CE0}">
            <x14:dataBar minLength="0" maxLength="100" gradient="0">
              <x14:cfvo type="autoMin"/>
              <x14:cfvo type="autoMax"/>
              <x14:negativeFillColor rgb="FFFF0000"/>
              <x14:axisColor rgb="FF000000"/>
            </x14:dataBar>
          </x14:cfRule>
          <xm:sqref>I4:J23</xm:sqref>
        </x14:conditionalFormatting>
        <x14:conditionalFormatting xmlns:xm="http://schemas.microsoft.com/office/excel/2006/main">
          <x14:cfRule type="dataBar" id="{2ABB5EF9-6F9E-4747-8EDF-1E902815AC5D}">
            <x14:dataBar minLength="0" maxLength="100" gradient="0">
              <x14:cfvo type="autoMin"/>
              <x14:cfvo type="autoMax"/>
              <x14:negativeFillColor rgb="FFFF0000"/>
              <x14:axisColor rgb="FF000000"/>
            </x14:dataBar>
          </x14:cfRule>
          <xm:sqref>I4:I23</xm:sqref>
        </x14:conditionalFormatting>
        <x14:conditionalFormatting xmlns:xm="http://schemas.microsoft.com/office/excel/2006/main">
          <x14:cfRule type="dataBar" id="{4B8A8503-1ABE-420B-AFD5-956BADDA484C}">
            <x14:dataBar minLength="0" maxLength="100" gradient="0">
              <x14:cfvo type="autoMin"/>
              <x14:cfvo type="autoMax"/>
              <x14:negativeFillColor rgb="FFFF0000"/>
              <x14:axisColor rgb="FF000000"/>
            </x14:dataBar>
          </x14:cfRule>
          <xm:sqref>K4:K23</xm:sqref>
        </x14:conditionalFormatting>
        <x14:conditionalFormatting xmlns:xm="http://schemas.microsoft.com/office/excel/2006/main">
          <x14:cfRule type="dataBar" id="{E91E505F-4F82-4EB4-88E9-E4FC229920E6}">
            <x14:dataBar minLength="0" maxLength="100" gradient="0">
              <x14:cfvo type="autoMin"/>
              <x14:cfvo type="autoMax"/>
              <x14:negativeFillColor rgb="FFFF0000"/>
              <x14:axisColor rgb="FF000000"/>
            </x14:dataBar>
          </x14:cfRule>
          <xm:sqref>R4:R23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Rocket Engine Table</vt:lpstr>
      <vt:lpstr>'Rocket Engine Table'!_FilterDatabase</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Enrique Torres</dc:creator>
  <cp:lastModifiedBy>Luis Enrique Torres</cp:lastModifiedBy>
  <dcterms:created xsi:type="dcterms:W3CDTF">2012-05-26T12:15:11Z</dcterms:created>
  <dcterms:modified xsi:type="dcterms:W3CDTF">2015-10-10T20:06:38Z</dcterms:modified>
</cp:coreProperties>
</file>